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2AB2A269-4CFB-4543-A14D-3ED151AB337B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6" r:id="rId1"/>
    <sheet name="Zał.Nr2" sheetId="7" r:id="rId2"/>
    <sheet name="Zał.Nr3" sheetId="8" r:id="rId3"/>
    <sheet name="Zał.Nr4" sheetId="9" r:id="rId4"/>
    <sheet name="Zał.Nr5" sheetId="11" r:id="rId5"/>
    <sheet name="Zał.Nr6" sheetId="10" r:id="rId6"/>
  </sheets>
  <definedNames>
    <definedName name="_xlnm._FilterDatabase" localSheetId="0" hidden="1">Zał.Nr1!$A$10:$L$562</definedName>
    <definedName name="_xlnm._FilterDatabase" localSheetId="1" hidden="1">Zał.Nr2!$M$1:$M$46</definedName>
    <definedName name="_xlnm.Print_Area" localSheetId="0">Zał.Nr1!$A$1:$H$612</definedName>
    <definedName name="_xlnm.Print_Area" localSheetId="1">Zał.Nr2!$A$1:$M$25</definedName>
    <definedName name="_xlnm.Print_Area" localSheetId="5">Zał.Nr6!$A$1:$G$201</definedName>
    <definedName name="_xlnm.Print_Titles" localSheetId="0">Zał.Nr1!$7:$9</definedName>
    <definedName name="_xlnm.Print_Titles" localSheetId="1">Zał.Nr2!$8:$15</definedName>
    <definedName name="_xlnm.Print_Titles" localSheetId="3">Zał.Nr4!$9:$10</definedName>
    <definedName name="_xlnm.Print_Titles" localSheetId="5">Zał.Nr6!$10:$11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11" l="1"/>
  <c r="F33" i="11"/>
  <c r="E33" i="11"/>
  <c r="D33" i="11"/>
  <c r="G198" i="10" l="1"/>
  <c r="G196" i="10"/>
  <c r="F195" i="10"/>
  <c r="G193" i="10"/>
  <c r="G191" i="10" s="1"/>
  <c r="G189" i="10" s="1"/>
  <c r="G192" i="10"/>
  <c r="G187" i="10"/>
  <c r="G186" i="10" s="1"/>
  <c r="G184" i="10" s="1"/>
  <c r="G182" i="10" s="1"/>
  <c r="F181" i="10"/>
  <c r="G179" i="10"/>
  <c r="G177" i="10"/>
  <c r="G176" i="10" s="1"/>
  <c r="G174" i="10" s="1"/>
  <c r="G172" i="10"/>
  <c r="G171" i="10"/>
  <c r="G169" i="10" s="1"/>
  <c r="G167" i="10"/>
  <c r="G166" i="10"/>
  <c r="G165" i="10"/>
  <c r="G164" i="10"/>
  <c r="G163" i="10"/>
  <c r="G162" i="10" s="1"/>
  <c r="G160" i="10" s="1"/>
  <c r="G158" i="10"/>
  <c r="G157" i="10"/>
  <c r="G155" i="10" s="1"/>
  <c r="G153" i="10"/>
  <c r="G152" i="10"/>
  <c r="G151" i="10"/>
  <c r="G150" i="10"/>
  <c r="G149" i="10"/>
  <c r="G148" i="10" s="1"/>
  <c r="G146" i="10" s="1"/>
  <c r="G144" i="10"/>
  <c r="G143" i="10"/>
  <c r="G141" i="10" s="1"/>
  <c r="G139" i="10"/>
  <c r="G138" i="10"/>
  <c r="G137" i="10"/>
  <c r="G136" i="10"/>
  <c r="G135" i="10"/>
  <c r="G134" i="10" s="1"/>
  <c r="G132" i="10" s="1"/>
  <c r="G130" i="10"/>
  <c r="G129" i="10"/>
  <c r="G128" i="10"/>
  <c r="G127" i="10"/>
  <c r="G126" i="10"/>
  <c r="G125" i="10"/>
  <c r="G123" i="10" s="1"/>
  <c r="G121" i="10"/>
  <c r="G120" i="10"/>
  <c r="G119" i="10"/>
  <c r="G118" i="10"/>
  <c r="G117" i="10"/>
  <c r="G116" i="10" s="1"/>
  <c r="G114" i="10" s="1"/>
  <c r="G112" i="10"/>
  <c r="G111" i="10"/>
  <c r="G109" i="10" s="1"/>
  <c r="G107" i="10"/>
  <c r="G106" i="10"/>
  <c r="G105" i="10"/>
  <c r="G104" i="10"/>
  <c r="G103" i="10"/>
  <c r="G102" i="10" s="1"/>
  <c r="G100" i="10" s="1"/>
  <c r="G98" i="10"/>
  <c r="G97" i="10"/>
  <c r="G96" i="10"/>
  <c r="G95" i="10"/>
  <c r="G94" i="10"/>
  <c r="G93" i="10"/>
  <c r="G91" i="10" s="1"/>
  <c r="G89" i="10"/>
  <c r="G88" i="10" s="1"/>
  <c r="G86" i="10" s="1"/>
  <c r="G84" i="10"/>
  <c r="G83" i="10"/>
  <c r="G82" i="10"/>
  <c r="G81" i="10"/>
  <c r="G80" i="10"/>
  <c r="G79" i="10"/>
  <c r="G78" i="10" s="1"/>
  <c r="G76" i="10" s="1"/>
  <c r="F73" i="10"/>
  <c r="G71" i="10"/>
  <c r="G69" i="10" s="1"/>
  <c r="G67" i="10" s="1"/>
  <c r="G70" i="10"/>
  <c r="F66" i="10"/>
  <c r="G64" i="10"/>
  <c r="G63" i="10" s="1"/>
  <c r="G61" i="10" s="1"/>
  <c r="F60" i="10"/>
  <c r="G58" i="10"/>
  <c r="G57" i="10"/>
  <c r="G56" i="10"/>
  <c r="G55" i="10" s="1"/>
  <c r="G53" i="10" s="1"/>
  <c r="F52" i="10"/>
  <c r="G50" i="10"/>
  <c r="G48" i="10" s="1"/>
  <c r="G49" i="10"/>
  <c r="G46" i="10"/>
  <c r="G45" i="10"/>
  <c r="F42" i="10"/>
  <c r="G40" i="10"/>
  <c r="G39" i="10"/>
  <c r="G37" i="10" s="1"/>
  <c r="G35" i="10" s="1"/>
  <c r="G38" i="10"/>
  <c r="F34" i="10"/>
  <c r="G32" i="10"/>
  <c r="G31" i="10"/>
  <c r="G30" i="10"/>
  <c r="G29" i="10"/>
  <c r="G27" i="10" s="1"/>
  <c r="F26" i="10"/>
  <c r="G24" i="10"/>
  <c r="G23" i="10"/>
  <c r="G21" i="10" s="1"/>
  <c r="G19" i="10" s="1"/>
  <c r="G22" i="10"/>
  <c r="F18" i="10"/>
  <c r="G16" i="10"/>
  <c r="G15" i="10"/>
  <c r="G13" i="10" s="1"/>
  <c r="F12" i="10"/>
  <c r="F201" i="10" s="1"/>
  <c r="F208" i="9"/>
  <c r="F205" i="9"/>
  <c r="F194" i="9"/>
  <c r="F192" i="9"/>
  <c r="F190" i="9"/>
  <c r="F183" i="9"/>
  <c r="F180" i="9"/>
  <c r="F175" i="9"/>
  <c r="F161" i="9"/>
  <c r="F151" i="9"/>
  <c r="F147" i="9"/>
  <c r="F134" i="9"/>
  <c r="F132" i="9"/>
  <c r="F116" i="9"/>
  <c r="F113" i="9"/>
  <c r="F106" i="9"/>
  <c r="F210" i="9" s="1"/>
  <c r="F102" i="9"/>
  <c r="F101" i="9"/>
  <c r="F100" i="9"/>
  <c r="F95" i="9"/>
  <c r="F94" i="9"/>
  <c r="F92" i="9"/>
  <c r="F90" i="9"/>
  <c r="F88" i="9"/>
  <c r="F87" i="9"/>
  <c r="F85" i="9"/>
  <c r="F84" i="9"/>
  <c r="F82" i="9"/>
  <c r="F81" i="9" s="1"/>
  <c r="F103" i="9" s="1"/>
  <c r="F79" i="9"/>
  <c r="F77" i="9"/>
  <c r="F72" i="9"/>
  <c r="F68" i="9"/>
  <c r="F58" i="9"/>
  <c r="F55" i="9"/>
  <c r="F43" i="9"/>
  <c r="F41" i="9"/>
  <c r="F39" i="9"/>
  <c r="F24" i="9"/>
  <c r="F17" i="9"/>
  <c r="F15" i="9"/>
  <c r="I20" i="8"/>
  <c r="H20" i="8"/>
  <c r="F19" i="8"/>
  <c r="E19" i="8"/>
  <c r="D19" i="8"/>
  <c r="E18" i="8"/>
  <c r="G17" i="8"/>
  <c r="F17" i="8"/>
  <c r="E17" i="8" s="1"/>
  <c r="D17" i="8"/>
  <c r="G16" i="8"/>
  <c r="F16" i="8"/>
  <c r="E16" i="8" s="1"/>
  <c r="D16" i="8"/>
  <c r="G15" i="8"/>
  <c r="G20" i="8" s="1"/>
  <c r="F15" i="8"/>
  <c r="E15" i="8" s="1"/>
  <c r="D15" i="8"/>
  <c r="F14" i="8"/>
  <c r="E14" i="8"/>
  <c r="D14" i="8"/>
  <c r="D20" i="8" s="1"/>
  <c r="H611" i="6"/>
  <c r="H610" i="6"/>
  <c r="H609" i="6"/>
  <c r="G608" i="6"/>
  <c r="F608" i="6"/>
  <c r="H608" i="6" s="1"/>
  <c r="H607" i="6"/>
  <c r="H606" i="6"/>
  <c r="G605" i="6"/>
  <c r="G604" i="6" s="1"/>
  <c r="G603" i="6" s="1"/>
  <c r="F605" i="6"/>
  <c r="F604" i="6"/>
  <c r="H602" i="6"/>
  <c r="H601" i="6"/>
  <c r="G600" i="6"/>
  <c r="F600" i="6"/>
  <c r="G599" i="6"/>
  <c r="G598" i="6"/>
  <c r="H597" i="6"/>
  <c r="H596" i="6"/>
  <c r="H595" i="6"/>
  <c r="H594" i="6"/>
  <c r="H593" i="6"/>
  <c r="H592" i="6"/>
  <c r="F592" i="6"/>
  <c r="H591" i="6"/>
  <c r="H590" i="6"/>
  <c r="H589" i="6"/>
  <c r="F589" i="6"/>
  <c r="F583" i="6" s="1"/>
  <c r="H588" i="6"/>
  <c r="H587" i="6"/>
  <c r="H586" i="6"/>
  <c r="H585" i="6"/>
  <c r="G585" i="6"/>
  <c r="H584" i="6"/>
  <c r="G583" i="6"/>
  <c r="G582" i="6"/>
  <c r="G581" i="6"/>
  <c r="H580" i="6"/>
  <c r="H579" i="6"/>
  <c r="H578" i="6"/>
  <c r="H577" i="6"/>
  <c r="G576" i="6"/>
  <c r="F576" i="6"/>
  <c r="G575" i="6"/>
  <c r="H574" i="6"/>
  <c r="H573" i="6"/>
  <c r="G573" i="6"/>
  <c r="F573" i="6"/>
  <c r="H572" i="6"/>
  <c r="G572" i="6"/>
  <c r="F572" i="6"/>
  <c r="G571" i="6"/>
  <c r="H570" i="6"/>
  <c r="H569" i="6"/>
  <c r="H568" i="6"/>
  <c r="H567" i="6"/>
  <c r="G567" i="6"/>
  <c r="F567" i="6"/>
  <c r="H566" i="6"/>
  <c r="H565" i="6"/>
  <c r="G565" i="6"/>
  <c r="F565" i="6"/>
  <c r="H564" i="6"/>
  <c r="G564" i="6"/>
  <c r="F564" i="6"/>
  <c r="G563" i="6"/>
  <c r="G562" i="6" s="1"/>
  <c r="F563" i="6"/>
  <c r="H561" i="6"/>
  <c r="H560" i="6"/>
  <c r="H559" i="6"/>
  <c r="G559" i="6"/>
  <c r="F559" i="6"/>
  <c r="G558" i="6"/>
  <c r="G555" i="6" s="1"/>
  <c r="F558" i="6"/>
  <c r="F555" i="6"/>
  <c r="H554" i="6"/>
  <c r="H553" i="6"/>
  <c r="H552" i="6"/>
  <c r="H551" i="6"/>
  <c r="G551" i="6"/>
  <c r="F551" i="6"/>
  <c r="G550" i="6"/>
  <c r="G549" i="6" s="1"/>
  <c r="F550" i="6"/>
  <c r="H550" i="6" s="1"/>
  <c r="F549" i="6"/>
  <c r="H549" i="6" s="1"/>
  <c r="H548" i="6"/>
  <c r="G547" i="6"/>
  <c r="F547" i="6"/>
  <c r="G546" i="6"/>
  <c r="H545" i="6"/>
  <c r="H544" i="6"/>
  <c r="G543" i="6"/>
  <c r="F543" i="6"/>
  <c r="G542" i="6"/>
  <c r="H541" i="6"/>
  <c r="H540" i="6"/>
  <c r="G539" i="6"/>
  <c r="F539" i="6"/>
  <c r="G538" i="6"/>
  <c r="G537" i="6"/>
  <c r="H536" i="6"/>
  <c r="H535" i="6"/>
  <c r="H534" i="6"/>
  <c r="G534" i="6"/>
  <c r="F534" i="6"/>
  <c r="H533" i="6"/>
  <c r="H532" i="6"/>
  <c r="G532" i="6"/>
  <c r="F532" i="6"/>
  <c r="H531" i="6"/>
  <c r="F531" i="6"/>
  <c r="F528" i="6" s="1"/>
  <c r="H530" i="6"/>
  <c r="F530" i="6"/>
  <c r="H529" i="6"/>
  <c r="G528" i="6"/>
  <c r="G527" i="6"/>
  <c r="G526" i="6"/>
  <c r="H524" i="6"/>
  <c r="H523" i="6"/>
  <c r="G523" i="6"/>
  <c r="F523" i="6"/>
  <c r="G522" i="6"/>
  <c r="G521" i="6" s="1"/>
  <c r="F522" i="6"/>
  <c r="H522" i="6" s="1"/>
  <c r="F521" i="6"/>
  <c r="H518" i="6"/>
  <c r="G517" i="6"/>
  <c r="F517" i="6"/>
  <c r="H516" i="6"/>
  <c r="H515" i="6"/>
  <c r="H514" i="6"/>
  <c r="H513" i="6"/>
  <c r="G513" i="6"/>
  <c r="F513" i="6"/>
  <c r="G511" i="6"/>
  <c r="H510" i="6"/>
  <c r="H509" i="6"/>
  <c r="H508" i="6"/>
  <c r="G508" i="6"/>
  <c r="F508" i="6"/>
  <c r="G507" i="6"/>
  <c r="F507" i="6"/>
  <c r="H505" i="6"/>
  <c r="H504" i="6"/>
  <c r="H503" i="6"/>
  <c r="H502" i="6"/>
  <c r="H501" i="6"/>
  <c r="H500" i="6"/>
  <c r="H499" i="6"/>
  <c r="H498" i="6"/>
  <c r="H497" i="6"/>
  <c r="H496" i="6"/>
  <c r="H495" i="6"/>
  <c r="H494" i="6"/>
  <c r="H493" i="6"/>
  <c r="H492" i="6"/>
  <c r="G491" i="6"/>
  <c r="F491" i="6"/>
  <c r="H490" i="6"/>
  <c r="H489" i="6"/>
  <c r="H488" i="6"/>
  <c r="H487" i="6"/>
  <c r="G487" i="6"/>
  <c r="F487" i="6"/>
  <c r="G486" i="6"/>
  <c r="H485" i="6"/>
  <c r="H484" i="6"/>
  <c r="H483" i="6"/>
  <c r="G482" i="6"/>
  <c r="F482" i="6"/>
  <c r="G481" i="6"/>
  <c r="H480" i="6"/>
  <c r="H479" i="6"/>
  <c r="H478" i="6"/>
  <c r="H477" i="6"/>
  <c r="H476" i="6"/>
  <c r="G476" i="6"/>
  <c r="F476" i="6"/>
  <c r="G475" i="6"/>
  <c r="G474" i="6" s="1"/>
  <c r="F475" i="6"/>
  <c r="H475" i="6" s="1"/>
  <c r="H473" i="6"/>
  <c r="H472" i="6"/>
  <c r="H471" i="6"/>
  <c r="H470" i="6"/>
  <c r="G469" i="6"/>
  <c r="F469" i="6"/>
  <c r="G468" i="6"/>
  <c r="H467" i="6"/>
  <c r="H466" i="6"/>
  <c r="G466" i="6"/>
  <c r="F466" i="6"/>
  <c r="G465" i="6"/>
  <c r="H465" i="6" s="1"/>
  <c r="F465" i="6"/>
  <c r="H464" i="6"/>
  <c r="G463" i="6"/>
  <c r="H463" i="6" s="1"/>
  <c r="F463" i="6"/>
  <c r="H462" i="6"/>
  <c r="G461" i="6"/>
  <c r="H461" i="6" s="1"/>
  <c r="F461" i="6"/>
  <c r="H460" i="6"/>
  <c r="G459" i="6"/>
  <c r="G458" i="6" s="1"/>
  <c r="F459" i="6"/>
  <c r="F458" i="6"/>
  <c r="H457" i="6"/>
  <c r="H456" i="6"/>
  <c r="H455" i="6"/>
  <c r="H454" i="6"/>
  <c r="G454" i="6"/>
  <c r="F454" i="6"/>
  <c r="H453" i="6"/>
  <c r="H452" i="6"/>
  <c r="G452" i="6"/>
  <c r="F452" i="6"/>
  <c r="F451" i="6" s="1"/>
  <c r="H451" i="6"/>
  <c r="G451" i="6"/>
  <c r="H450" i="6"/>
  <c r="H449" i="6"/>
  <c r="H448" i="6"/>
  <c r="H447" i="6"/>
  <c r="H446" i="6"/>
  <c r="G445" i="6"/>
  <c r="H445" i="6" s="1"/>
  <c r="F445" i="6"/>
  <c r="H444" i="6"/>
  <c r="G443" i="6"/>
  <c r="H443" i="6" s="1"/>
  <c r="F443" i="6"/>
  <c r="G442" i="6"/>
  <c r="G435" i="6" s="1"/>
  <c r="F442" i="6"/>
  <c r="H440" i="6"/>
  <c r="H439" i="6"/>
  <c r="H438" i="6"/>
  <c r="H437" i="6"/>
  <c r="G437" i="6"/>
  <c r="F437" i="6"/>
  <c r="F436" i="6" s="1"/>
  <c r="H436" i="6"/>
  <c r="G436" i="6"/>
  <c r="H434" i="6"/>
  <c r="H433" i="6"/>
  <c r="H432" i="6"/>
  <c r="G431" i="6"/>
  <c r="F431" i="6"/>
  <c r="H431" i="6" s="1"/>
  <c r="H430" i="6"/>
  <c r="H429" i="6"/>
  <c r="G428" i="6"/>
  <c r="G426" i="6" s="1"/>
  <c r="G425" i="6" s="1"/>
  <c r="F428" i="6"/>
  <c r="H428" i="6" s="1"/>
  <c r="H424" i="6"/>
  <c r="H423" i="6"/>
  <c r="H422" i="6"/>
  <c r="H421" i="6"/>
  <c r="H420" i="6"/>
  <c r="H419" i="6"/>
  <c r="H418" i="6"/>
  <c r="H417" i="6"/>
  <c r="H416" i="6"/>
  <c r="H415" i="6"/>
  <c r="H414" i="6"/>
  <c r="H413" i="6"/>
  <c r="H412" i="6"/>
  <c r="H411" i="6"/>
  <c r="G410" i="6"/>
  <c r="F410" i="6"/>
  <c r="H410" i="6" s="1"/>
  <c r="H409" i="6"/>
  <c r="H408" i="6"/>
  <c r="G407" i="6"/>
  <c r="G406" i="6" s="1"/>
  <c r="F407" i="6"/>
  <c r="H407" i="6" s="1"/>
  <c r="H405" i="6"/>
  <c r="G404" i="6"/>
  <c r="F404" i="6"/>
  <c r="H404" i="6" s="1"/>
  <c r="H403" i="6"/>
  <c r="H402" i="6"/>
  <c r="G401" i="6"/>
  <c r="G400" i="6" s="1"/>
  <c r="F401" i="6"/>
  <c r="H401" i="6" s="1"/>
  <c r="H399" i="6"/>
  <c r="H398" i="6"/>
  <c r="H397" i="6"/>
  <c r="G396" i="6"/>
  <c r="G395" i="6" s="1"/>
  <c r="F396" i="6"/>
  <c r="F395" i="6"/>
  <c r="H393" i="6"/>
  <c r="H392" i="6"/>
  <c r="H391" i="6"/>
  <c r="G391" i="6"/>
  <c r="G390" i="6" s="1"/>
  <c r="G389" i="6" s="1"/>
  <c r="F390" i="6"/>
  <c r="H388" i="6"/>
  <c r="H387" i="6"/>
  <c r="G387" i="6"/>
  <c r="F387" i="6"/>
  <c r="F386" i="6" s="1"/>
  <c r="H386" i="6"/>
  <c r="G386" i="6"/>
  <c r="H384" i="6"/>
  <c r="H383" i="6"/>
  <c r="H382" i="6"/>
  <c r="H381" i="6"/>
  <c r="G380" i="6"/>
  <c r="G379" i="6" s="1"/>
  <c r="F380" i="6"/>
  <c r="F379" i="6"/>
  <c r="H378" i="6"/>
  <c r="H377" i="6"/>
  <c r="H376" i="6"/>
  <c r="H375" i="6"/>
  <c r="G375" i="6"/>
  <c r="F375" i="6"/>
  <c r="H374" i="6"/>
  <c r="H373" i="6"/>
  <c r="H372" i="6"/>
  <c r="H371" i="6"/>
  <c r="H370" i="6"/>
  <c r="H369" i="6"/>
  <c r="G369" i="6"/>
  <c r="F369" i="6"/>
  <c r="G368" i="6"/>
  <c r="H368" i="6" s="1"/>
  <c r="F368" i="6"/>
  <c r="H366" i="6"/>
  <c r="H365" i="6"/>
  <c r="H364" i="6"/>
  <c r="G364" i="6"/>
  <c r="F364" i="6"/>
  <c r="G363" i="6"/>
  <c r="G362" i="6" s="1"/>
  <c r="F363" i="6"/>
  <c r="F362" i="6"/>
  <c r="H361" i="6"/>
  <c r="H360" i="6"/>
  <c r="H359" i="6"/>
  <c r="G359" i="6"/>
  <c r="F359" i="6"/>
  <c r="G358" i="6"/>
  <c r="H358" i="6" s="1"/>
  <c r="F358" i="6"/>
  <c r="H357" i="6"/>
  <c r="H356" i="6"/>
  <c r="H355" i="6"/>
  <c r="H354" i="6"/>
  <c r="H353" i="6"/>
  <c r="H352" i="6"/>
  <c r="H351" i="6"/>
  <c r="G351" i="6"/>
  <c r="F351" i="6"/>
  <c r="H350" i="6"/>
  <c r="H349" i="6"/>
  <c r="G349" i="6"/>
  <c r="F349" i="6"/>
  <c r="G348" i="6"/>
  <c r="H348" i="6" s="1"/>
  <c r="F348" i="6"/>
  <c r="H340" i="6"/>
  <c r="G339" i="6"/>
  <c r="H339" i="6" s="1"/>
  <c r="F339" i="6"/>
  <c r="H338" i="6"/>
  <c r="G337" i="6"/>
  <c r="H337" i="6" s="1"/>
  <c r="F337" i="6"/>
  <c r="G336" i="6"/>
  <c r="F336" i="6"/>
  <c r="H335" i="6"/>
  <c r="H334" i="6"/>
  <c r="H333" i="6"/>
  <c r="H332" i="6"/>
  <c r="G331" i="6"/>
  <c r="G330" i="6" s="1"/>
  <c r="F331" i="6"/>
  <c r="G327" i="6"/>
  <c r="G324" i="6" s="1"/>
  <c r="G321" i="6" s="1"/>
  <c r="H326" i="6"/>
  <c r="F325" i="6"/>
  <c r="H323" i="6"/>
  <c r="H322" i="6"/>
  <c r="G322" i="6"/>
  <c r="F322" i="6"/>
  <c r="H317" i="6"/>
  <c r="H316" i="6"/>
  <c r="H315" i="6"/>
  <c r="H314" i="6"/>
  <c r="G313" i="6"/>
  <c r="G312" i="6" s="1"/>
  <c r="F313" i="6"/>
  <c r="F312" i="6"/>
  <c r="H311" i="6"/>
  <c r="F311" i="6"/>
  <c r="G310" i="6"/>
  <c r="H310" i="6" s="1"/>
  <c r="H309" i="6"/>
  <c r="G309" i="6"/>
  <c r="G308" i="6"/>
  <c r="G307" i="6" s="1"/>
  <c r="F308" i="6"/>
  <c r="F307" i="6"/>
  <c r="H306" i="6"/>
  <c r="H305" i="6"/>
  <c r="H304" i="6"/>
  <c r="H303" i="6"/>
  <c r="H302" i="6"/>
  <c r="G301" i="6"/>
  <c r="G300" i="6" s="1"/>
  <c r="F301" i="6"/>
  <c r="H298" i="6"/>
  <c r="H297" i="6"/>
  <c r="G296" i="6"/>
  <c r="G295" i="6" s="1"/>
  <c r="F296" i="6"/>
  <c r="H294" i="6"/>
  <c r="H293" i="6"/>
  <c r="G292" i="6"/>
  <c r="F292" i="6"/>
  <c r="H292" i="6" s="1"/>
  <c r="H291" i="6"/>
  <c r="G291" i="6"/>
  <c r="H290" i="6"/>
  <c r="H289" i="6"/>
  <c r="H288" i="6"/>
  <c r="G288" i="6"/>
  <c r="F288" i="6"/>
  <c r="F287" i="6" s="1"/>
  <c r="H287" i="6" s="1"/>
  <c r="G287" i="6"/>
  <c r="H286" i="6"/>
  <c r="H285" i="6"/>
  <c r="G285" i="6"/>
  <c r="F285" i="6"/>
  <c r="H284" i="6"/>
  <c r="H283" i="6"/>
  <c r="H282" i="6"/>
  <c r="G282" i="6"/>
  <c r="F282" i="6"/>
  <c r="H281" i="6"/>
  <c r="H280" i="6"/>
  <c r="H279" i="6"/>
  <c r="H278" i="6"/>
  <c r="H277" i="6"/>
  <c r="H276" i="6"/>
  <c r="H275" i="6"/>
  <c r="H274" i="6"/>
  <c r="H273" i="6"/>
  <c r="H272" i="6"/>
  <c r="G272" i="6"/>
  <c r="F272" i="6"/>
  <c r="H271" i="6"/>
  <c r="H270" i="6"/>
  <c r="G270" i="6"/>
  <c r="F270" i="6"/>
  <c r="H269" i="6"/>
  <c r="G269" i="6"/>
  <c r="F269" i="6"/>
  <c r="H268" i="6"/>
  <c r="H267" i="6"/>
  <c r="G267" i="6"/>
  <c r="F267" i="6"/>
  <c r="H266" i="6"/>
  <c r="H265" i="6"/>
  <c r="H264" i="6"/>
  <c r="G263" i="6"/>
  <c r="F263" i="6"/>
  <c r="H263" i="6" s="1"/>
  <c r="H262" i="6"/>
  <c r="G261" i="6"/>
  <c r="H261" i="6" s="1"/>
  <c r="H260" i="6"/>
  <c r="H259" i="6"/>
  <c r="H258" i="6"/>
  <c r="H257" i="6"/>
  <c r="H256" i="6"/>
  <c r="H255" i="6"/>
  <c r="H254" i="6"/>
  <c r="H253" i="6"/>
  <c r="H252" i="6"/>
  <c r="H251" i="6"/>
  <c r="G250" i="6"/>
  <c r="F250" i="6"/>
  <c r="H250" i="6" s="1"/>
  <c r="H249" i="6"/>
  <c r="H248" i="6"/>
  <c r="G247" i="6"/>
  <c r="G246" i="6" s="1"/>
  <c r="F247" i="6"/>
  <c r="F246" i="6"/>
  <c r="H246" i="6" s="1"/>
  <c r="H245" i="6"/>
  <c r="H244" i="6"/>
  <c r="H243" i="6"/>
  <c r="H242" i="6"/>
  <c r="G242" i="6"/>
  <c r="F242" i="6"/>
  <c r="H241" i="6"/>
  <c r="H240" i="6"/>
  <c r="H239" i="6"/>
  <c r="F238" i="6"/>
  <c r="H238" i="6" s="1"/>
  <c r="H237" i="6"/>
  <c r="H236" i="6"/>
  <c r="H235" i="6"/>
  <c r="H234" i="6"/>
  <c r="H233" i="6"/>
  <c r="H232" i="6"/>
  <c r="H231" i="6"/>
  <c r="H230" i="6"/>
  <c r="H229" i="6"/>
  <c r="H228" i="6"/>
  <c r="H227" i="6"/>
  <c r="G226" i="6"/>
  <c r="F226" i="6"/>
  <c r="H225" i="6"/>
  <c r="G224" i="6"/>
  <c r="F224" i="6"/>
  <c r="H224" i="6" s="1"/>
  <c r="H222" i="6"/>
  <c r="G221" i="6"/>
  <c r="H221" i="6" s="1"/>
  <c r="H220" i="6"/>
  <c r="H219" i="6"/>
  <c r="F219" i="6"/>
  <c r="H218" i="6"/>
  <c r="H217" i="6"/>
  <c r="G217" i="6"/>
  <c r="G216" i="6" s="1"/>
  <c r="F217" i="6"/>
  <c r="F216" i="6"/>
  <c r="H215" i="6"/>
  <c r="G214" i="6"/>
  <c r="G213" i="6" s="1"/>
  <c r="F214" i="6"/>
  <c r="F213" i="6"/>
  <c r="H212" i="6"/>
  <c r="G211" i="6"/>
  <c r="F211" i="6"/>
  <c r="G210" i="6"/>
  <c r="H209" i="6"/>
  <c r="H208" i="6"/>
  <c r="G208" i="6"/>
  <c r="F208" i="6"/>
  <c r="H207" i="6"/>
  <c r="H206" i="6"/>
  <c r="H205" i="6"/>
  <c r="G204" i="6"/>
  <c r="G186" i="6" s="1"/>
  <c r="F204" i="6"/>
  <c r="H204" i="6" s="1"/>
  <c r="H203" i="6"/>
  <c r="G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G190" i="6"/>
  <c r="F190" i="6"/>
  <c r="H189" i="6"/>
  <c r="H188" i="6"/>
  <c r="G187" i="6"/>
  <c r="F187" i="6"/>
  <c r="H185" i="6"/>
  <c r="H184" i="6"/>
  <c r="G183" i="6"/>
  <c r="F183" i="6"/>
  <c r="G182" i="6"/>
  <c r="H181" i="6"/>
  <c r="H180" i="6"/>
  <c r="G179" i="6"/>
  <c r="F179" i="6"/>
  <c r="H179" i="6" s="1"/>
  <c r="H178" i="6"/>
  <c r="H177" i="6"/>
  <c r="H176" i="6"/>
  <c r="H175" i="6"/>
  <c r="H174" i="6"/>
  <c r="G174" i="6"/>
  <c r="F174" i="6"/>
  <c r="F173" i="6" s="1"/>
  <c r="H173" i="6" s="1"/>
  <c r="G173" i="6"/>
  <c r="H172" i="6"/>
  <c r="H171" i="6"/>
  <c r="G171" i="6"/>
  <c r="F171" i="6"/>
  <c r="H170" i="6"/>
  <c r="H169" i="6"/>
  <c r="H168" i="6"/>
  <c r="G167" i="6"/>
  <c r="F167" i="6"/>
  <c r="H167" i="6" s="1"/>
  <c r="H166" i="6"/>
  <c r="H165" i="6"/>
  <c r="H164" i="6"/>
  <c r="H163" i="6"/>
  <c r="H162" i="6"/>
  <c r="H161" i="6"/>
  <c r="H160" i="6"/>
  <c r="H159" i="6"/>
  <c r="H158" i="6"/>
  <c r="H157" i="6"/>
  <c r="H156" i="6"/>
  <c r="H155" i="6"/>
  <c r="G154" i="6"/>
  <c r="F154" i="6"/>
  <c r="H154" i="6" s="1"/>
  <c r="H153" i="6"/>
  <c r="H152" i="6"/>
  <c r="G151" i="6"/>
  <c r="G150" i="6" s="1"/>
  <c r="F151" i="6"/>
  <c r="H151" i="6" s="1"/>
  <c r="H148" i="6"/>
  <c r="G147" i="6"/>
  <c r="G146" i="6" s="1"/>
  <c r="F147" i="6"/>
  <c r="G145" i="6"/>
  <c r="H144" i="6"/>
  <c r="H143" i="6"/>
  <c r="H142" i="6"/>
  <c r="G141" i="6"/>
  <c r="F141" i="6"/>
  <c r="H140" i="6"/>
  <c r="F140" i="6"/>
  <c r="H139" i="6"/>
  <c r="H138" i="6"/>
  <c r="H137" i="6"/>
  <c r="H136" i="6"/>
  <c r="H135" i="6"/>
  <c r="H134" i="6"/>
  <c r="G134" i="6"/>
  <c r="F134" i="6"/>
  <c r="G133" i="6"/>
  <c r="G128" i="6" s="1"/>
  <c r="H132" i="6"/>
  <c r="H131" i="6"/>
  <c r="H130" i="6"/>
  <c r="G130" i="6"/>
  <c r="F130" i="6"/>
  <c r="F129" i="6" s="1"/>
  <c r="H129" i="6"/>
  <c r="G129" i="6"/>
  <c r="H126" i="6"/>
  <c r="H125" i="6"/>
  <c r="H124" i="6"/>
  <c r="G124" i="6"/>
  <c r="F124" i="6"/>
  <c r="F123" i="6" s="1"/>
  <c r="H123" i="6" s="1"/>
  <c r="G123" i="6"/>
  <c r="H122" i="6"/>
  <c r="H121" i="6"/>
  <c r="H120" i="6"/>
  <c r="H119" i="6"/>
  <c r="G118" i="6"/>
  <c r="F118" i="6"/>
  <c r="H118" i="6" s="1"/>
  <c r="G117" i="6"/>
  <c r="F117" i="6"/>
  <c r="H116" i="6"/>
  <c r="H115" i="6"/>
  <c r="G114" i="6"/>
  <c r="G113" i="6" s="1"/>
  <c r="G112" i="6" s="1"/>
  <c r="F114" i="6"/>
  <c r="F113" i="6"/>
  <c r="H111" i="6"/>
  <c r="G110" i="6"/>
  <c r="G108" i="6" s="1"/>
  <c r="G107" i="6" s="1"/>
  <c r="F110" i="6"/>
  <c r="H110" i="6" s="1"/>
  <c r="H106" i="6"/>
  <c r="H105" i="6"/>
  <c r="G104" i="6"/>
  <c r="G103" i="6" s="1"/>
  <c r="G102" i="6" s="1"/>
  <c r="F104" i="6"/>
  <c r="H104" i="6" s="1"/>
  <c r="H101" i="6"/>
  <c r="G100" i="6"/>
  <c r="H100" i="6" s="1"/>
  <c r="F100" i="6"/>
  <c r="F99" i="6"/>
  <c r="H97" i="6"/>
  <c r="H96" i="6"/>
  <c r="H95" i="6"/>
  <c r="H94" i="6"/>
  <c r="G93" i="6"/>
  <c r="G92" i="6" s="1"/>
  <c r="G91" i="6" s="1"/>
  <c r="F93" i="6"/>
  <c r="H93" i="6" s="1"/>
  <c r="F92" i="6"/>
  <c r="F88" i="6"/>
  <c r="H88" i="6" s="1"/>
  <c r="H87" i="6"/>
  <c r="G87" i="6"/>
  <c r="F87" i="6"/>
  <c r="F86" i="6" s="1"/>
  <c r="G86" i="6"/>
  <c r="G85" i="6" s="1"/>
  <c r="H83" i="6"/>
  <c r="G82" i="6"/>
  <c r="G81" i="6" s="1"/>
  <c r="F82" i="6"/>
  <c r="H82" i="6" s="1"/>
  <c r="H80" i="6"/>
  <c r="G79" i="6"/>
  <c r="G78" i="6" s="1"/>
  <c r="G77" i="6" s="1"/>
  <c r="F79" i="6"/>
  <c r="H79" i="6" s="1"/>
  <c r="F76" i="6"/>
  <c r="H76" i="6" s="1"/>
  <c r="G75" i="6"/>
  <c r="G74" i="6"/>
  <c r="G73" i="6" s="1"/>
  <c r="G72" i="6" s="1"/>
  <c r="H71" i="6"/>
  <c r="G70" i="6"/>
  <c r="G69" i="6" s="1"/>
  <c r="G68" i="6" s="1"/>
  <c r="F70" i="6"/>
  <c r="H70" i="6" s="1"/>
  <c r="H67" i="6"/>
  <c r="H66" i="6"/>
  <c r="G66" i="6"/>
  <c r="F66" i="6"/>
  <c r="F65" i="6" s="1"/>
  <c r="H65" i="6" s="1"/>
  <c r="G65" i="6"/>
  <c r="H64" i="6"/>
  <c r="G63" i="6"/>
  <c r="H63" i="6" s="1"/>
  <c r="F63" i="6"/>
  <c r="F62" i="6"/>
  <c r="H60" i="6"/>
  <c r="G59" i="6"/>
  <c r="F59" i="6"/>
  <c r="H59" i="6" s="1"/>
  <c r="H58" i="6"/>
  <c r="F58" i="6"/>
  <c r="G57" i="6"/>
  <c r="F57" i="6"/>
  <c r="H57" i="6" s="1"/>
  <c r="G56" i="6"/>
  <c r="G55" i="6" s="1"/>
  <c r="H54" i="6"/>
  <c r="H53" i="6"/>
  <c r="G53" i="6"/>
  <c r="F53" i="6"/>
  <c r="F52" i="6" s="1"/>
  <c r="G52" i="6"/>
  <c r="G51" i="6" s="1"/>
  <c r="H48" i="6"/>
  <c r="G47" i="6"/>
  <c r="G46" i="6" s="1"/>
  <c r="G45" i="6" s="1"/>
  <c r="F47" i="6"/>
  <c r="H47" i="6" s="1"/>
  <c r="H44" i="6"/>
  <c r="H43" i="6"/>
  <c r="G43" i="6"/>
  <c r="F43" i="6"/>
  <c r="H42" i="6"/>
  <c r="H41" i="6"/>
  <c r="G41" i="6"/>
  <c r="F41" i="6"/>
  <c r="F40" i="6" s="1"/>
  <c r="G40" i="6"/>
  <c r="G39" i="6" s="1"/>
  <c r="H38" i="6"/>
  <c r="G37" i="6"/>
  <c r="F37" i="6"/>
  <c r="H37" i="6" s="1"/>
  <c r="H36" i="6"/>
  <c r="G35" i="6"/>
  <c r="G34" i="6" s="1"/>
  <c r="F35" i="6"/>
  <c r="H35" i="6" s="1"/>
  <c r="H33" i="6"/>
  <c r="G32" i="6"/>
  <c r="F32" i="6"/>
  <c r="H32" i="6" s="1"/>
  <c r="G31" i="6"/>
  <c r="H29" i="6"/>
  <c r="G28" i="6"/>
  <c r="G27" i="6" s="1"/>
  <c r="G26" i="6" s="1"/>
  <c r="F28" i="6"/>
  <c r="F27" i="6"/>
  <c r="H27" i="6" s="1"/>
  <c r="F25" i="6"/>
  <c r="G24" i="6"/>
  <c r="G23" i="6" s="1"/>
  <c r="G22" i="6" s="1"/>
  <c r="H21" i="6"/>
  <c r="H20" i="6"/>
  <c r="H19" i="6"/>
  <c r="G19" i="6"/>
  <c r="F19" i="6"/>
  <c r="F18" i="6" s="1"/>
  <c r="G18" i="6"/>
  <c r="G17" i="6" s="1"/>
  <c r="H15" i="6"/>
  <c r="G14" i="6"/>
  <c r="F14" i="6"/>
  <c r="H14" i="6" s="1"/>
  <c r="G13" i="6"/>
  <c r="G12" i="6" s="1"/>
  <c r="F13" i="6"/>
  <c r="H13" i="6" s="1"/>
  <c r="G43" i="10" l="1"/>
  <c r="G74" i="10"/>
  <c r="G201" i="10" s="1"/>
  <c r="F211" i="9"/>
  <c r="E20" i="8"/>
  <c r="F20" i="8"/>
  <c r="H40" i="6"/>
  <c r="F39" i="6"/>
  <c r="H39" i="6" s="1"/>
  <c r="F51" i="6"/>
  <c r="H52" i="6"/>
  <c r="F85" i="6"/>
  <c r="H85" i="6" s="1"/>
  <c r="H86" i="6"/>
  <c r="H99" i="6"/>
  <c r="F17" i="6"/>
  <c r="H17" i="6" s="1"/>
  <c r="H18" i="6"/>
  <c r="G11" i="6"/>
  <c r="H92" i="6"/>
  <c r="F146" i="6"/>
  <c r="H147" i="6"/>
  <c r="F61" i="6"/>
  <c r="F81" i="6"/>
  <c r="H81" i="6" s="1"/>
  <c r="F98" i="6"/>
  <c r="H98" i="6" s="1"/>
  <c r="G99" i="6"/>
  <c r="G98" i="6" s="1"/>
  <c r="H113" i="6"/>
  <c r="H114" i="6"/>
  <c r="F150" i="6"/>
  <c r="F182" i="6"/>
  <c r="H182" i="6" s="1"/>
  <c r="H183" i="6"/>
  <c r="F223" i="6"/>
  <c r="H223" i="6" s="1"/>
  <c r="H226" i="6"/>
  <c r="H247" i="6"/>
  <c r="F330" i="6"/>
  <c r="H330" i="6" s="1"/>
  <c r="H331" i="6"/>
  <c r="H362" i="6"/>
  <c r="H363" i="6"/>
  <c r="H395" i="6"/>
  <c r="H396" i="6"/>
  <c r="F400" i="6"/>
  <c r="H400" i="6" s="1"/>
  <c r="F406" i="6"/>
  <c r="H406" i="6" s="1"/>
  <c r="F435" i="6"/>
  <c r="H458" i="6"/>
  <c r="H459" i="6"/>
  <c r="H507" i="6"/>
  <c r="G519" i="6"/>
  <c r="F542" i="6"/>
  <c r="H542" i="6" s="1"/>
  <c r="H543" i="6"/>
  <c r="H141" i="6"/>
  <c r="F133" i="6"/>
  <c r="F468" i="6"/>
  <c r="H468" i="6" s="1"/>
  <c r="H469" i="6"/>
  <c r="H491" i="6"/>
  <c r="F486" i="6"/>
  <c r="H486" i="6" s="1"/>
  <c r="H25" i="6"/>
  <c r="H28" i="6"/>
  <c r="F34" i="6"/>
  <c r="H34" i="6" s="1"/>
  <c r="G62" i="6"/>
  <c r="G61" i="6" s="1"/>
  <c r="G49" i="6" s="1"/>
  <c r="F12" i="6"/>
  <c r="F75" i="6"/>
  <c r="F103" i="6"/>
  <c r="F108" i="6"/>
  <c r="F186" i="6"/>
  <c r="H186" i="6" s="1"/>
  <c r="H187" i="6"/>
  <c r="H213" i="6"/>
  <c r="H216" i="6"/>
  <c r="F295" i="6"/>
  <c r="H295" i="6" s="1"/>
  <c r="H296" i="6"/>
  <c r="H307" i="6"/>
  <c r="H312" i="6"/>
  <c r="H379" i="6"/>
  <c r="G506" i="6"/>
  <c r="F527" i="6"/>
  <c r="H528" i="6"/>
  <c r="F546" i="6"/>
  <c r="H546" i="6" s="1"/>
  <c r="H547" i="6"/>
  <c r="H555" i="6"/>
  <c r="F599" i="6"/>
  <c r="H600" i="6"/>
  <c r="F603" i="6"/>
  <c r="H603" i="6" s="1"/>
  <c r="H604" i="6"/>
  <c r="H117" i="6"/>
  <c r="H325" i="6"/>
  <c r="F324" i="6"/>
  <c r="F389" i="6"/>
  <c r="H389" i="6" s="1"/>
  <c r="H390" i="6"/>
  <c r="F538" i="6"/>
  <c r="H539" i="6"/>
  <c r="H583" i="6"/>
  <c r="F582" i="6"/>
  <c r="F24" i="6"/>
  <c r="F46" i="6"/>
  <c r="F56" i="6"/>
  <c r="F69" i="6"/>
  <c r="F26" i="6"/>
  <c r="H26" i="6" s="1"/>
  <c r="F78" i="6"/>
  <c r="F31" i="6"/>
  <c r="H31" i="6" s="1"/>
  <c r="F91" i="6"/>
  <c r="F112" i="6"/>
  <c r="F210" i="6"/>
  <c r="H210" i="6" s="1"/>
  <c r="H211" i="6"/>
  <c r="H214" i="6"/>
  <c r="G223" i="6"/>
  <c r="G149" i="6" s="1"/>
  <c r="F300" i="6"/>
  <c r="H300" i="6" s="1"/>
  <c r="H301" i="6"/>
  <c r="H308" i="6"/>
  <c r="H313" i="6"/>
  <c r="H327" i="6"/>
  <c r="H336" i="6"/>
  <c r="G367" i="6"/>
  <c r="H380" i="6"/>
  <c r="F426" i="6"/>
  <c r="H442" i="6"/>
  <c r="F481" i="6"/>
  <c r="H481" i="6" s="1"/>
  <c r="H482" i="6"/>
  <c r="F511" i="6"/>
  <c r="H517" i="6"/>
  <c r="H521" i="6"/>
  <c r="H558" i="6"/>
  <c r="H563" i="6"/>
  <c r="F575" i="6"/>
  <c r="H576" i="6"/>
  <c r="H605" i="6"/>
  <c r="G90" i="6" l="1"/>
  <c r="G89" i="6" s="1"/>
  <c r="H112" i="6"/>
  <c r="H24" i="6"/>
  <c r="F23" i="6"/>
  <c r="H150" i="6"/>
  <c r="H69" i="6"/>
  <c r="F68" i="6"/>
  <c r="H68" i="6" s="1"/>
  <c r="F145" i="6"/>
  <c r="H145" i="6" s="1"/>
  <c r="H146" i="6"/>
  <c r="H62" i="6"/>
  <c r="H51" i="6"/>
  <c r="H56" i="6"/>
  <c r="F55" i="6"/>
  <c r="H55" i="6" s="1"/>
  <c r="H599" i="6"/>
  <c r="F598" i="6"/>
  <c r="H598" i="6" s="1"/>
  <c r="F367" i="6"/>
  <c r="F74" i="6"/>
  <c r="H75" i="6"/>
  <c r="H61" i="6"/>
  <c r="H575" i="6"/>
  <c r="F571" i="6"/>
  <c r="H538" i="6"/>
  <c r="F537" i="6"/>
  <c r="H537" i="6" s="1"/>
  <c r="H108" i="6"/>
  <c r="F107" i="6"/>
  <c r="H107" i="6" s="1"/>
  <c r="H133" i="6"/>
  <c r="H435" i="6"/>
  <c r="G10" i="6"/>
  <c r="H511" i="6"/>
  <c r="F506" i="6"/>
  <c r="H506" i="6" s="1"/>
  <c r="F425" i="6"/>
  <c r="H425" i="6" s="1"/>
  <c r="H426" i="6"/>
  <c r="H91" i="6"/>
  <c r="F581" i="6"/>
  <c r="H581" i="6" s="1"/>
  <c r="H582" i="6"/>
  <c r="F474" i="6"/>
  <c r="H103" i="6"/>
  <c r="F102" i="6"/>
  <c r="H102" i="6" s="1"/>
  <c r="F128" i="6"/>
  <c r="F77" i="6"/>
  <c r="H77" i="6" s="1"/>
  <c r="H78" i="6"/>
  <c r="H46" i="6"/>
  <c r="F45" i="6"/>
  <c r="H45" i="6" s="1"/>
  <c r="F321" i="6"/>
  <c r="H321" i="6" s="1"/>
  <c r="H324" i="6"/>
  <c r="H527" i="6"/>
  <c r="F526" i="6"/>
  <c r="H12" i="6"/>
  <c r="H474" i="6" l="1"/>
  <c r="F90" i="6"/>
  <c r="H571" i="6"/>
  <c r="F562" i="6"/>
  <c r="F73" i="6"/>
  <c r="H74" i="6"/>
  <c r="H526" i="6"/>
  <c r="F519" i="6"/>
  <c r="H128" i="6"/>
  <c r="H367" i="6"/>
  <c r="F149" i="6"/>
  <c r="F49" i="6"/>
  <c r="F22" i="6"/>
  <c r="H23" i="6"/>
  <c r="H49" i="6" l="1"/>
  <c r="H149" i="6"/>
  <c r="H73" i="6"/>
  <c r="F72" i="6"/>
  <c r="H22" i="6"/>
  <c r="F11" i="6"/>
  <c r="H90" i="6"/>
  <c r="F89" i="6"/>
  <c r="H519" i="6"/>
  <c r="H562" i="6"/>
  <c r="H72" i="6" l="1"/>
  <c r="H11" i="6"/>
  <c r="F10" i="6"/>
  <c r="H89" i="6"/>
  <c r="H10" i="6" l="1"/>
</calcChain>
</file>

<file path=xl/sharedStrings.xml><?xml version="1.0" encoding="utf-8"?>
<sst xmlns="http://schemas.openxmlformats.org/spreadsheetml/2006/main" count="1383" uniqueCount="544">
  <si>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</si>
  <si>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</si>
  <si>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</si>
  <si>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</si>
  <si>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</si>
  <si>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</si>
  <si>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</si>
  <si>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</si>
  <si>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</si>
  <si>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</si>
  <si>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</si>
  <si>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</si>
  <si>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</si>
  <si>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</si>
  <si>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Pozostała działalność</t>
  </si>
  <si>
    <t>zakup usług pozostałych</t>
  </si>
  <si>
    <t>Załącznik Nr 1</t>
  </si>
  <si>
    <t>Oświata i wychowanie</t>
  </si>
  <si>
    <t>Szkoły podstawowe</t>
  </si>
  <si>
    <t>Jednostki oświatowe zbiorczo</t>
  </si>
  <si>
    <t>wydatki osobowe niezaliczone do wynagrodzeń</t>
  </si>
  <si>
    <t>wynagrodzenia osobowe pracowników</t>
  </si>
  <si>
    <t>dodatkowe wynagrodzenie roczne</t>
  </si>
  <si>
    <t xml:space="preserve">składki na ubezpieczenia społeczne </t>
  </si>
  <si>
    <t xml:space="preserve">składki na Fundusz Pracy oraz Fundusz Solidarnościowy </t>
  </si>
  <si>
    <t>wynagrodzenia bezosobowe</t>
  </si>
  <si>
    <t>4210</t>
  </si>
  <si>
    <t>zakup materiałów i wyposażenia</t>
  </si>
  <si>
    <t>zakup środków dydaktycznych i książek</t>
  </si>
  <si>
    <t>zakup energii</t>
  </si>
  <si>
    <t>zakup usług remontowych</t>
  </si>
  <si>
    <t>zakup usług zdrowotnych</t>
  </si>
  <si>
    <t>opłaty z tytułu zakupu usług telekomunikacyjnych</t>
  </si>
  <si>
    <t>podróże służbowe krajowe</t>
  </si>
  <si>
    <t xml:space="preserve">różne opłaty i składki </t>
  </si>
  <si>
    <t>odpisy na zakładowy fundusz świadczeń socjalnych</t>
  </si>
  <si>
    <t xml:space="preserve">szkolenia pracowników niebędących członkami korpusu służby cywilnej </t>
  </si>
  <si>
    <t>wpłaty na PPK finansowane przez podmiot zatrudniający</t>
  </si>
  <si>
    <t>wynagrodzenie osobowe nauczycieli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</si>
  <si>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</si>
  <si>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</si>
  <si>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</si>
  <si>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</si>
  <si>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zakup usług związanych z pomocą obywatelom Ukrainy</t>
  </si>
  <si>
    <t>pozostałe wydatki bieżące na zadania związane z pomocą obywatelom Ukrainy</t>
  </si>
  <si>
    <t>Oddziały przedszkolne w szkołach podstawowych</t>
  </si>
  <si>
    <t>Przedszkola</t>
  </si>
  <si>
    <t>Świetlice szkolne</t>
  </si>
  <si>
    <t>Dokształcanie i doskonalenie nauczycieli</t>
  </si>
  <si>
    <t xml:space="preserve">szkolenia pracowników  niebędących członkami korpusu służby cywilnej </t>
  </si>
  <si>
    <t>Stołówki szkolne i przedszkolne</t>
  </si>
  <si>
    <t xml:space="preserve">Realizacja zadań wymagających stosowania specjalnej </t>
  </si>
  <si>
    <t>organizacji nauki i metod pracy dla dzieci i młodzieży</t>
  </si>
  <si>
    <t>w szkołach podstawowych</t>
  </si>
  <si>
    <t>Załącznik Nr 2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</si>
  <si>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</si>
  <si>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</si>
  <si>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</si>
  <si>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</si>
  <si>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</si>
  <si>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Lp.</t>
  </si>
  <si>
    <t>Wyszczególnienie</t>
  </si>
  <si>
    <t>pieniężnych</t>
  </si>
  <si>
    <t>na początek roku</t>
  </si>
  <si>
    <t>Dochody</t>
  </si>
  <si>
    <t>Wydatki</t>
  </si>
  <si>
    <t>na koniec roku</t>
  </si>
  <si>
    <t>1.</t>
  </si>
  <si>
    <t>2.</t>
  </si>
  <si>
    <t>Szkoły podstawowe specjalne</t>
  </si>
  <si>
    <t>3.</t>
  </si>
  <si>
    <t>4.</t>
  </si>
  <si>
    <t>Technika</t>
  </si>
  <si>
    <t>5.</t>
  </si>
  <si>
    <t>Licea ogólnokształcące</t>
  </si>
  <si>
    <t>6.</t>
  </si>
  <si>
    <t xml:space="preserve">Szkoły artystyczne </t>
  </si>
  <si>
    <t>7.</t>
  </si>
  <si>
    <t>Szkoły zawodowe specjalne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</si>
  <si>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</si>
  <si>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</si>
  <si>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</si>
  <si>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</si>
  <si>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</si>
  <si>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</si>
  <si>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</si>
  <si>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>Internaty i bursy szkolne</t>
  </si>
  <si>
    <t>Kolonie i obozy oraz inne formy wypoczynku dzieci</t>
  </si>
  <si>
    <t xml:space="preserve">i młodzieży szkolnej, a także szkolenia młodzieży </t>
  </si>
  <si>
    <t>Szkolne schroniska młodzieżowe</t>
  </si>
  <si>
    <t>Młodzieżowe ośrodki wychowawcze</t>
  </si>
  <si>
    <t xml:space="preserve">Ogółem </t>
  </si>
  <si>
    <t>DOCHODY OGÓŁEM:</t>
  </si>
  <si>
    <t>Dochody na zadania własne:</t>
  </si>
  <si>
    <t>Działalność usługowa</t>
  </si>
  <si>
    <t>71035</t>
  </si>
  <si>
    <t xml:space="preserve">Cmentarze </t>
  </si>
  <si>
    <t>Organ</t>
  </si>
  <si>
    <t>2020</t>
  </si>
  <si>
    <t>dotacje celowe otrzymane z budżetu państwa na zadania bieżące realizowane przez gminę na podstawie porozumień z organami administracji rządowej</t>
  </si>
  <si>
    <t>Bezpieczeństwo publiczne i ochrona</t>
  </si>
  <si>
    <t>przeciwpożarowa</t>
  </si>
  <si>
    <t xml:space="preserve">Komendy powiatowe Państwowej Straży Pożarnej </t>
  </si>
  <si>
    <t xml:space="preserve">Organ </t>
  </si>
  <si>
    <t>dotacje otrzymane z państwowych funduszy celowych na realizację zadań bieżących jednostek sektora finansów publicznych</t>
  </si>
  <si>
    <t>6260</t>
  </si>
  <si>
    <t>dotacje otrzymane z państwowych funduszy celowych na finansowanie lub dofinansowanie kosztów realizacji inwestycji i zakupów inwestycyjnych jednostek sektora finansów publicznych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</si>
  <si>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</si>
  <si>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</si>
  <si>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</si>
  <si>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</si>
  <si>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</si>
  <si>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</si>
  <si>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</si>
  <si>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>Domy pomocy społecznej</t>
  </si>
  <si>
    <t>2130</t>
  </si>
  <si>
    <t>dotacje celowe otrzymane z budżetu państwa na realizację bieżących zadań własnych powiatu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</si>
  <si>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</si>
  <si>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</si>
  <si>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</si>
  <si>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</si>
  <si>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2030</t>
  </si>
  <si>
    <t>dotacje celowe otrzymane z budżetu państwa na realizację własnych zadań bieżących gmin (związków gmin, związków powiatowo-gminnych)</t>
  </si>
  <si>
    <t>Organ - Fundusz Pomocy (zapewnienie posiłku dzieciom i młodzieży)</t>
  </si>
  <si>
    <t>Edukacyjna opieka wychowawcza</t>
  </si>
  <si>
    <t>Pomoc materialna dla uczniów o charakterze socjalnym</t>
  </si>
  <si>
    <t>Organ - Fundusz Pomocy (stypendia i zasiłki dla uczniów z Ukrainy)</t>
  </si>
  <si>
    <t>2040</t>
  </si>
  <si>
    <t>dotacja celowa otrzymana z budżetu państwa na realizację zadań bieżących gmin z zakresu edukacyjnej opieki wychowawczej finansowanych w całości przez budżet państwa w ramach programów rządowych</t>
  </si>
  <si>
    <t>Rodzina</t>
  </si>
  <si>
    <t>Organ - Fundusz Pomocy (świadczenia rodzinne)</t>
  </si>
  <si>
    <t>Dochody na zadania zlecone:</t>
  </si>
  <si>
    <t>Urzędy naczelnych organów władzy państwowej,</t>
  </si>
  <si>
    <t>kontroli i ochrony prawa oraz sądownictwa</t>
  </si>
  <si>
    <t>Referenda ogólnokrajowe i konstytucyjne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</si>
  <si>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</si>
  <si>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</si>
  <si>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</si>
  <si>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</si>
  <si>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</si>
  <si>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Ośrodki pomocy społecznej</t>
  </si>
  <si>
    <t>Pomoc dla cudzoziemców</t>
  </si>
  <si>
    <t>Pozostałe zadania w zakresie polityki społecznej</t>
  </si>
  <si>
    <t>Organ - Fundusz Pomocy (świadczenie pieniężne w wysokości 300 zł)</t>
  </si>
  <si>
    <t>Dochody na zadania rządowe:</t>
  </si>
  <si>
    <t>Gospodarka mieszkaniowa</t>
  </si>
  <si>
    <t>Gospodarka gruntami i nieruchomościami</t>
  </si>
  <si>
    <t>dotacje celowe otrzymane z budżetu państwa na zadania bieżące z zakresu administracji rządowej oraz inne zadania zlecone ustawami realizowane przez powiat</t>
  </si>
  <si>
    <t>710</t>
  </si>
  <si>
    <t>Zadania z zakresu geodezji i kartografii</t>
  </si>
  <si>
    <t>Nadzór budowlany</t>
  </si>
  <si>
    <t xml:space="preserve">Bezpieczeństwo publiczne i ochrona </t>
  </si>
  <si>
    <t>Komendy powiatowe Państwowej Straży Pożarnej</t>
  </si>
  <si>
    <t>020</t>
  </si>
  <si>
    <t>Leśnictwo</t>
  </si>
  <si>
    <t>02001</t>
  </si>
  <si>
    <t>Gospodarka leśna</t>
  </si>
  <si>
    <t>Miejski Zakład Zieleni i Usług Komunalnych</t>
  </si>
  <si>
    <t>Transport i łączność</t>
  </si>
  <si>
    <t>Płatne parkowanie</t>
  </si>
  <si>
    <t>Miejski Zarząd Infrastruktury Drogowej i Transportu</t>
  </si>
  <si>
    <t>Gospodarowanie mieszkaniowym zasobem gminy</t>
  </si>
  <si>
    <t>Administracja Zasobów Komunalnych</t>
  </si>
  <si>
    <t>Cmentarze - zadania realizowane na podstawie porozumień</t>
  </si>
  <si>
    <t xml:space="preserve">Wydział Nadzoru Właścicielskiego i Gospodarki </t>
  </si>
  <si>
    <t xml:space="preserve">Komunalnej </t>
  </si>
  <si>
    <t>Administracja publiczna</t>
  </si>
  <si>
    <t>75020</t>
  </si>
  <si>
    <t>Starostwa powiatowe</t>
  </si>
  <si>
    <t>Wydział Komunikacji</t>
  </si>
  <si>
    <t>zakup usług obejmujących tłumaczenia</t>
  </si>
  <si>
    <t>75023</t>
  </si>
  <si>
    <t>Urzędy gmin (miast i miast na prawach powiatu)</t>
  </si>
  <si>
    <t>Wydział Organizacyjno-Prawny i Kadr</t>
  </si>
  <si>
    <t>Wydział Inwestycji</t>
  </si>
  <si>
    <t xml:space="preserve">zakup usług obejmujących wykonanie ekspertyz, analiz i opinii </t>
  </si>
  <si>
    <t>Komenda Miejska Państwowej Straży Pożarnej</t>
  </si>
  <si>
    <t>wydatki na zakupy inwestycyjne jednostek budżetowych</t>
  </si>
  <si>
    <t>Straż gminna (miejska)</t>
  </si>
  <si>
    <t>Straż Miejska</t>
  </si>
  <si>
    <t>Obsługa Monitoringu</t>
  </si>
  <si>
    <t>Rezerwy ogólne i celowe</t>
  </si>
  <si>
    <t>4810</t>
  </si>
  <si>
    <t xml:space="preserve">rezerwy </t>
  </si>
  <si>
    <t xml:space="preserve"> - rezerwa ogólna</t>
  </si>
  <si>
    <t>Wydział Edukacji</t>
  </si>
  <si>
    <t>dotacja podmiotowa z budżetu dla niepublicznej jednostki systemu oświaty</t>
  </si>
  <si>
    <t>dotacja podmiotowa z budżetu dla publicznej jednostki systemu oświaty prowadzonej przez osobę prawną inną niż jednostka samorządu terytorialnego lub przez osobę fizyczną</t>
  </si>
  <si>
    <t>nagrody o charakterze szczególnym  niezaliczone do wynagrodzeń</t>
  </si>
  <si>
    <t>wynagrodzenia nauczycieli wypłacane w związku z pomocą obywatelom Ukrainy</t>
  </si>
  <si>
    <t>składki i inne pochodne od wynagrodzeń pracowników wypłacanych w związku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</si>
  <si>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</si>
  <si>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</si>
  <si>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</si>
  <si>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opłaty na rzecz budżetu państwa</t>
  </si>
  <si>
    <t>Przedszkola specjalne</t>
  </si>
  <si>
    <t>Inne formy wychowania przedszkolnego</t>
  </si>
  <si>
    <t>Branżowe szkoły I i II stopnia</t>
  </si>
  <si>
    <t>Szkoły artystyczne</t>
  </si>
  <si>
    <t xml:space="preserve">Placówki kształcenia ustawicznego i centra </t>
  </si>
  <si>
    <t xml:space="preserve"> kształcenia zawodowego</t>
  </si>
  <si>
    <t>wynagrodzenia osobowe nauczycieli</t>
  </si>
  <si>
    <t xml:space="preserve">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</si>
  <si>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</si>
  <si>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</si>
  <si>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</si>
  <si>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</si>
  <si>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</si>
  <si>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</si>
  <si>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</si>
  <si>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</si>
  <si>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</si>
  <si>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</si>
  <si>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851</t>
  </si>
  <si>
    <t>Ochrona zdrowia</t>
  </si>
  <si>
    <t>Przeciwdziałanie alkoholizmowi</t>
  </si>
  <si>
    <t>Centrum Wsparcia dla Osób w Kryzysie</t>
  </si>
  <si>
    <t>852</t>
  </si>
  <si>
    <t>Dom Pomocy Społecznej ul. Nowomiejska 19</t>
  </si>
  <si>
    <t>zakup środków żywności</t>
  </si>
  <si>
    <t>Dom Pomocy Społecznej ul. Dobrzyńska 102</t>
  </si>
  <si>
    <t>Ośrodki wsparcia</t>
  </si>
  <si>
    <t>Dom Pomocy Społecznej przy ul. Nowomiejskiej 19- Centrum Wsparcia Społecznego</t>
  </si>
  <si>
    <t>Miejski Ośrodek Pomocy Rodzinie - Fundusz Pomocy (zasiłki okresowe)</t>
  </si>
  <si>
    <t>świadczenia społeczne wypłacane obywatelom Ukrainy przebywającym na terytorium RP</t>
  </si>
  <si>
    <t>Miejski Ośrodek Pomocy Rodzinie</t>
  </si>
  <si>
    <t>podróże służbowe zagraniczne</t>
  </si>
  <si>
    <t>Jednostki specjalistycznego poradnictwa, mieszkania</t>
  </si>
  <si>
    <t>chronione i ośrodki interwencji kryzysowej</t>
  </si>
  <si>
    <t>MOPR - mieszkania chronione</t>
  </si>
  <si>
    <t>opłaty za administrowanie i czynsze za budynki, lokale i pomieszczenia garażowe</t>
  </si>
  <si>
    <t xml:space="preserve">Miejski Ośrodek Pomocy Rodzinie </t>
  </si>
  <si>
    <t>świadczenia społeczne</t>
  </si>
  <si>
    <t>Miejski Ośrodek Pomocy Rodzinie - Fundusz Pomocy (zapewnienie posiłku dzieciom i młodzieży)</t>
  </si>
  <si>
    <t>Miejski Ośrodek Pomocy Rodzinie - projekt pn. "Reintegracja społeczna mieszkańców Włocławka, w tym w obszarze rewitalizacji"</t>
  </si>
  <si>
    <t>składki na ubezpieczenia społeczne</t>
  </si>
  <si>
    <t>Dom Pomocy Społecznej ul. Nowomiejska 19 - projekt pn. „Centrum Wsparcia Społecznego – wdrożenie lokalnego planu deinstytucjonalizacji usług społecznych na terenie Miasta Włocławka”</t>
  </si>
  <si>
    <t>składki na Fundusz Pracy oraz Fundusz Solidarnościowy</t>
  </si>
  <si>
    <t>Włocławskie Centrum Organizacji Pozarządowych</t>
  </si>
  <si>
    <t xml:space="preserve">i Wolontariatu </t>
  </si>
  <si>
    <t>Miejski Ośrodek Pomocy Rodzinie - projekt pn. "Usługi indywidualnego transportu door-to-door - dla mieszkańców Miasta Włocławka"</t>
  </si>
  <si>
    <t>Wczesne wspomaganie rozwoju dziecka</t>
  </si>
  <si>
    <t>Poradnie psychologiczno - pedagogiczne, w tym</t>
  </si>
  <si>
    <t>poradnie specjalistyczne</t>
  </si>
  <si>
    <t>inne formy pomocy dla uczniów</t>
  </si>
  <si>
    <t>Inne formy pomocy dla uczniów</t>
  </si>
  <si>
    <t>Wydział Edukacji - Fundusz Pomocy (stypendia i zasiłki dla uczniów z Ukrainy)</t>
  </si>
  <si>
    <t>Świadczenia rodzinne, świadczenie z funduszu alimentacyjnego oraz składki na ubezpieczenia emerytalne i rentowe z ubezpieczenia społecznego</t>
  </si>
  <si>
    <t>Działalność placówek opiekuńczo - wychowawczych</t>
  </si>
  <si>
    <t>Centrum Opieki nad Dzieckiem</t>
  </si>
  <si>
    <t>Miejski Ośrodek Pomocy Rodzinie - Fundusz Pomocy (świadczenia rodzinne)</t>
  </si>
  <si>
    <t>wynagrodzenia i uposażenia wypłacane w związku z pomocą obywatelom Ukrainy</t>
  </si>
  <si>
    <t>Miejski Ośrodek Pomocy Rodzinie - projekt pn. "Rodzina w Centrum 3"</t>
  </si>
  <si>
    <t>Gospodarka komunalna i ochrona środowiska</t>
  </si>
  <si>
    <t>Oświetlenie ulic, placów i dróg</t>
  </si>
  <si>
    <t>Wydział Dróg, Transportu Zbiorowego i Energii</t>
  </si>
  <si>
    <t>Wydział Nadzoru Właścicielskiego i Gospodarki</t>
  </si>
  <si>
    <t>Komunalnej</t>
  </si>
  <si>
    <t>koszty postępowania sądowego i prokuratorskiego</t>
  </si>
  <si>
    <t>Wydatki na zadania zlecone:</t>
  </si>
  <si>
    <t>Biuro Rady Miasta Włocławek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</si>
  <si>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</si>
  <si>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</si>
  <si>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</si>
  <si>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</si>
  <si>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 xml:space="preserve">Środowiskowy Dom Samopomocy 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</si>
  <si>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</si>
  <si>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</si>
  <si>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</si>
  <si>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</si>
  <si>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Wydatki na zadania rządowe:</t>
  </si>
  <si>
    <t>Wydział Gospodarowania Mieniem Komunalnym</t>
  </si>
  <si>
    <t>podatek od nieruchomości</t>
  </si>
  <si>
    <t>Wydział Organizacyjno - Prawny i Kadr</t>
  </si>
  <si>
    <t>Wydział Geodezji i Kartografii</t>
  </si>
  <si>
    <t>Powiatowy Inspektorat Nadzoru Budowlanego Miasta Włocławek</t>
  </si>
  <si>
    <t>wynagrodzenia osobowe członków korpusu służby cywilnej</t>
  </si>
  <si>
    <t>wydatki osobowe niezaliczone do uposażeń wypłacane żołnierzom i funkcjonariuszom</t>
  </si>
  <si>
    <t>uposażenia żołnierzy zawodowych oraz funkcjonariuszy</t>
  </si>
  <si>
    <t>inne należności żołnierzy zawodowych oraz funkcjonariuszy zaliczane do wynagrodzeń</t>
  </si>
  <si>
    <t>równoważniki pieniężne i ekwiwalenty dla żołnierzy  i funkcjonariuszy oraz pozostałe należności</t>
  </si>
  <si>
    <t>Zadania w zakresie przeciwdziałania przemocy w rodzinie</t>
  </si>
  <si>
    <t>Miejski Ośrodek Pomocy Rodzinie - Specjalistyczny Ośrodek Wsparcia</t>
  </si>
  <si>
    <t>Zespoły do spraw orzekania o niepełnosprawności</t>
  </si>
  <si>
    <t xml:space="preserve">Miejski Zespół do Spraw Orzekania o Niepełnosprawności </t>
  </si>
  <si>
    <t>Miejski Zespół do Spraw Orzekania o Niepełnosprawności - Fundusz Pomocy (realizacja zadań przez Miejski Zespół do Spraw Orzekania o Niepełnosprawności na rzecz obywateli Ukrainy)</t>
  </si>
  <si>
    <t>do Zarządzenia NR 371/2023</t>
  </si>
  <si>
    <t>z dnia 29 września 2023 r.</t>
  </si>
  <si>
    <t>Zmiana planu wydatków majątkowych na 2023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</si>
  <si>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</si>
  <si>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</si>
  <si>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</si>
  <si>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</si>
  <si>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</si>
  <si>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</si>
  <si>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</si>
  <si>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</si>
  <si>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</si>
  <si>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</si>
  <si>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</si>
  <si>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</si>
  <si>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</si>
  <si>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</si>
  <si>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</si>
  <si>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finansowe *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</si>
  <si>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</si>
  <si>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</si>
  <si>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</si>
  <si>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</si>
  <si>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</si>
  <si>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</si>
  <si>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</si>
  <si>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</si>
  <si>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</si>
  <si>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</si>
  <si>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</si>
  <si>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</si>
  <si>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</si>
  <si>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</si>
  <si>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</si>
  <si>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</si>
  <si>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x</t>
  </si>
  <si>
    <t>BEZPIECZEŃSTWO PUBLICZNE I OCHRONA PRZECIWPOŻAROWA</t>
  </si>
  <si>
    <t>wprowadza się nowe zadanie:</t>
  </si>
  <si>
    <t>§ 6060</t>
  </si>
  <si>
    <t>Zakup sprężarki powietrza oddechowego z magazynem powietrza</t>
  </si>
  <si>
    <t xml:space="preserve"> - </t>
  </si>
  <si>
    <t>OŚWIATA I WYCHOWANIE</t>
  </si>
  <si>
    <t>Zakup urządzenia szorująco - zbierającego i-mop. Sala gimnastyczna Zespołu Szkół Elektrycznych we Włocławku</t>
  </si>
  <si>
    <t>Zespół Szkół Elektrycznych</t>
  </si>
  <si>
    <t>*  - łączne koszty finansowe obejmują wydatki majątkowe i wydatki bieżące</t>
  </si>
  <si>
    <t>Załącznik Nr 3</t>
  </si>
  <si>
    <t>Dochody i wydatki związane z realizacją zadań z zakresu administracji rządowej wykonywanych na podstawie porozumień z organami administracji rządowej na 2023 rok</t>
  </si>
  <si>
    <t>z tego:</t>
  </si>
  <si>
    <t>Rozdział</t>
  </si>
  <si>
    <t>Dotacje
ogółem</t>
  </si>
  <si>
    <t>Wydatki
ogółem
(6+9)</t>
  </si>
  <si>
    <t>w tym:</t>
  </si>
  <si>
    <t>Wydatki
bieżące</t>
  </si>
  <si>
    <t>wynagrodzenia i składki od nich naliczane</t>
  </si>
  <si>
    <t>świadczenia na rzecz osób fizycznych</t>
  </si>
  <si>
    <t>Wydatki
majątkowe</t>
  </si>
  <si>
    <t>Ogółem:</t>
  </si>
  <si>
    <t>Załącznik Nr 4</t>
  </si>
  <si>
    <t xml:space="preserve">Dotacje udzielane z budżetu jednostki samorządu terytorialnego </t>
  </si>
  <si>
    <t>dla jednostek spoza sektora finansów publicznych na 2023 rok</t>
  </si>
  <si>
    <t xml:space="preserve">§ </t>
  </si>
  <si>
    <t>Nazwa zadania</t>
  </si>
  <si>
    <t>Kwota dotacji</t>
  </si>
  <si>
    <t>dotacje celowe</t>
  </si>
  <si>
    <t>Dotacja do zakupu rowerów dla mieszkańców Włocławka (dotacja na inwestycje)</t>
  </si>
  <si>
    <t>Dotacje do prac budowlanych w ramach rewitalizacji</t>
  </si>
  <si>
    <t>Pozostała działalność (prowadzenie Kawiarni Obywatelskiej "Śródmieście Cafe")</t>
  </si>
  <si>
    <t>2826        2827</t>
  </si>
  <si>
    <t xml:space="preserve">Realizacja projektu unijnego "WŁOCŁAWEK - MIASTO NOWYCH MOŻLIWOŚCI. Tutaj mieszkam, pracuję, inwestuję i tu wypoczywam" </t>
  </si>
  <si>
    <t>Nieodpłatna pomoc prawna - zadanie rządowe</t>
  </si>
  <si>
    <t>2340         2810       2830</t>
  </si>
  <si>
    <t>Szkoła Podstawowa z oddziałami dwujęzycznymi "Montessori-Schule"</t>
  </si>
  <si>
    <t>Akademicka Szkoła Podstawowa nr 1 im. "Obrońców Wisły 1920 roku" prow. przez KSW</t>
  </si>
  <si>
    <t>Akademicka Szkoła Podstawowa Mistrzostwa Sportowego nr 1 im. "Obrońców Wisły 1920 roku" prow. przez KSW</t>
  </si>
  <si>
    <t>Prywatna Szkoła Podstawowa Zespołu Edukacji "Wiedza"</t>
  </si>
  <si>
    <t>Publiczna Szkoła Podstawowa im. ks. J. Długosza</t>
  </si>
  <si>
    <t xml:space="preserve">Szkoła Podstawowa Nr 24 w Zespole Szkół WSO "Cogito" </t>
  </si>
  <si>
    <t>2340         2820         2830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</si>
  <si>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</si>
  <si>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</si>
  <si>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</si>
  <si>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</si>
  <si>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</si>
  <si>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</si>
  <si>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Niepubliczne Przedszkole "Happy Kids"</t>
  </si>
  <si>
    <t>Niepubliczne Przedszkole "Na Wspólnej"</t>
  </si>
  <si>
    <t>Przedszkole Publiczne nr 1</t>
  </si>
  <si>
    <t>Niepubliczne Przedszkole "Bajeczka"</t>
  </si>
  <si>
    <t>Przedszkole Niepubliczne "Megamocni"</t>
  </si>
  <si>
    <t>Przedszkole Niepubliczne "Tęczowa Kraina"</t>
  </si>
  <si>
    <t>Niepubliczne Przedszkole Centrum Malucha Piotruś Pan</t>
  </si>
  <si>
    <t>Katolickie Publiczne Przedszkole "Pod Aniołem Stróżem"</t>
  </si>
  <si>
    <t>Niepubliczny Punkt Przedszkolny "Kraina Bajek"</t>
  </si>
  <si>
    <t>Akademickie Technikum Wojskowe im. "Obrońców Wisły                           1920 roku" we Włocławku</t>
  </si>
  <si>
    <t>2810            2830</t>
  </si>
  <si>
    <t>Szkoły policealne</t>
  </si>
  <si>
    <t>Szkoła Policealna "Cosinus Plus"</t>
  </si>
  <si>
    <t>Policealna Szkoła Techników Ochrony Fizycznej Osób i Mienia "Delta"</t>
  </si>
  <si>
    <t>Policealna Szkoła Futuro</t>
  </si>
  <si>
    <t>Akademicka Szkoła Policealna przy Kujawskiej Szkole Wyższej</t>
  </si>
  <si>
    <t>Zaoczna Policealna Szkoła Zawodowa "Pascal"</t>
  </si>
  <si>
    <t>Policealna Szkoła Kosmetyczna "Pascal"</t>
  </si>
  <si>
    <t>Stacjonarna Policealna Szkoła Medyczna "Pascal"</t>
  </si>
  <si>
    <t>Policealna Szkoła Medyczna "Pascal"</t>
  </si>
  <si>
    <t>Szkoła Policealna "Spectrum"</t>
  </si>
  <si>
    <t>Szkoła Policealna Centrum Nauki i Biznesu "Żak"</t>
  </si>
  <si>
    <t>Policealna Szkoła Opieki Medycznej "Żak"</t>
  </si>
  <si>
    <t>Branżowa Szkoła I Stopnia IMPULS</t>
  </si>
  <si>
    <t xml:space="preserve">Branżowa Szkoła I Stopnia nr 9 w Zespole Szkół Włocławskiego Stowarzyszenia Oświatowego "Cogito" </t>
  </si>
  <si>
    <t>2340         2830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</si>
  <si>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</si>
  <si>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</si>
  <si>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Liceum Ogólnokształcące dla dorosłych "Futuro"</t>
  </si>
  <si>
    <t>Zaoczne Liceum Ogólnokształcące dla dorosłych "Cosinus Plus"</t>
  </si>
  <si>
    <t>Prywatne Liceum Ogólnokształcące dla dorosłych prow. przez Katarzynę Balcer</t>
  </si>
  <si>
    <t>Liceum Ogólnokształcące dla dorosłych "Pascal"</t>
  </si>
  <si>
    <t>Liceum Ogólnokształcące "Spectrum" dla dorosłych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</si>
  <si>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</si>
  <si>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</si>
  <si>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</si>
  <si>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"Zielony Słonik"</t>
  </si>
  <si>
    <t>Terapeutyczny Punkt Przedszkolny "Synapsik"</t>
  </si>
  <si>
    <t>Terapeutyczny Punkt Przedszkolny "Neuromind"</t>
  </si>
  <si>
    <t>2340       2830</t>
  </si>
  <si>
    <t>Zapewnienie uczniom prawa do bezpłatnego dostępu do podręczników, materiałów edukacyjnych lub materiałów ćwiczeniowych (zakup podręczników dla uczniów, w tym dla uczniów będących obywatelami Ukrainy)</t>
  </si>
  <si>
    <t>Zespół Szkół Katolickich im. Ks. J. Długosza</t>
  </si>
  <si>
    <t>Szkoła Podstawowa z oddziałami dwujęzycznymi Monttessori-     Schule</t>
  </si>
  <si>
    <t xml:space="preserve">Zespół Szkół Akademickich im. Obrońców Wisły 1920 roku 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</si>
  <si>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</si>
  <si>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</si>
  <si>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</si>
  <si>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</si>
  <si>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</si>
  <si>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19.1</t>
  </si>
  <si>
    <t xml:space="preserve"> - zadania własne</t>
  </si>
  <si>
    <t>19.2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</si>
  <si>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</si>
  <si>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</si>
  <si>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</si>
  <si>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</si>
  <si>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Specjalne ośrodki wychowawcze</t>
  </si>
  <si>
    <t>Specjalny Ośrodek Wychowawczy</t>
  </si>
  <si>
    <t>Poradnie psychologiczno - pedagogiczne, w tym poradnie specjalistyczne</t>
  </si>
  <si>
    <t>Poradnia Psychologiczno - Pedagogiczna "Vitamed"</t>
  </si>
  <si>
    <t>Internat</t>
  </si>
  <si>
    <t>Wymiana źródeł ciepła zasilanych paliwami stałymi ogółem, z tego:</t>
  </si>
  <si>
    <t>28.1</t>
  </si>
  <si>
    <t>- program dla osób fizycznych (dotacja na inwestycje)</t>
  </si>
  <si>
    <t>28.2</t>
  </si>
  <si>
    <t>- wymiana w budynkach wielorodzinnych (dotacja na inwestycje)</t>
  </si>
  <si>
    <t>Ochrona zabytków i opieka nad zabytkami</t>
  </si>
  <si>
    <t xml:space="preserve">2810        2820       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</si>
  <si>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</si>
  <si>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</si>
  <si>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2810        2820        2830</t>
  </si>
  <si>
    <t>Zadania w zakresie kultury fizycznej</t>
  </si>
  <si>
    <t>2816        2817    2826        2827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</si>
  <si>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</si>
  <si>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</si>
  <si>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dotacje podmiotowe</t>
  </si>
  <si>
    <t>Nazwa placówki/nazwa podmiotu</t>
  </si>
  <si>
    <t>2540        2590</t>
  </si>
  <si>
    <t>Publiczna Szkoła Podstawowa im. Ks. J. Długosza</t>
  </si>
  <si>
    <t>Akademicka Szkoła Podstawowa Nr 1 im. Obrońców Wisły 1920 roku we Włocławku</t>
  </si>
  <si>
    <t>Akademicka Szkoła Podstawowa Mistrzostwa Sportowego Nr 1          im. Obrońców Wisły 1920 roku we Włocławku</t>
  </si>
  <si>
    <t>Przedszkole Akademickie przy Państwowej Akademii Nauk Stosowanych we Włocławku</t>
  </si>
  <si>
    <t>Centrum Malucha - "Piotruś Pan"- Przedszkole Niepubliczne</t>
  </si>
  <si>
    <t>Przedszkole Niepubliczne "Happy Kids"</t>
  </si>
  <si>
    <t>Przedszkole Niepubliczne Megamocni we Włocławku</t>
  </si>
  <si>
    <t xml:space="preserve">Przedszkole Publiczne Nr 1 </t>
  </si>
  <si>
    <t>Inne formy wychowania przedszkolnego - punkty przedszkolne</t>
  </si>
  <si>
    <t>Akademickie Technikum Wojskowe im. Obrońców Wisły 1920 roku we Włocławku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</si>
  <si>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</si>
  <si>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</si>
  <si>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</si>
  <si>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</si>
  <si>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</si>
  <si>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</si>
  <si>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</si>
  <si>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</si>
  <si>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</si>
  <si>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</si>
  <si>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</si>
  <si>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</si>
  <si>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</si>
  <si>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</si>
  <si>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</si>
  <si>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</si>
  <si>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</si>
  <si>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</si>
  <si>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</si>
  <si>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</si>
  <si>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Przedszkole Akademickie przy Państwowej  Akademii Nauk Stosowanych we Włocławku</t>
  </si>
  <si>
    <t>Terapeutyczny Punkt Przedszkolny Neuromind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</si>
  <si>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</si>
  <si>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</si>
  <si>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</si>
  <si>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</si>
  <si>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</si>
  <si>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</si>
  <si>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</si>
  <si>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</si>
  <si>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Specjalny Ośrodek Wychowawczy Zgromadzenia Sióstr Orionistek</t>
  </si>
  <si>
    <t>Niepubliczna Poradnia Psychologiczno - Pedagogiczna "Centrum Diagnozy, Terapii i Wspomagania Rozwoju" (Elżbieta Złowodzka Jetter)</t>
  </si>
  <si>
    <t>Internat Zespołu Szkół Katolickich im. Ks. J. Długosza</t>
  </si>
  <si>
    <t>Załącznik Nr 6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</si>
  <si>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</si>
  <si>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</si>
  <si>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</si>
  <si>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</si>
  <si>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</si>
  <si>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</si>
  <si>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</si>
  <si>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</si>
  <si>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</si>
  <si>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</si>
  <si>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</si>
  <si>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</si>
  <si>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</si>
  <si>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</si>
  <si>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</si>
  <si>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</si>
  <si>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</si>
  <si>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</si>
  <si>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</si>
  <si>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</si>
  <si>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</si>
  <si>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</si>
  <si>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</si>
  <si>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</si>
  <si>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4860</t>
  </si>
  <si>
    <t>Realizacja zadań przez Miejski Zespół do Spraw Orzekania o Niepełnosprawności na rzecz obywateli Ukrainy</t>
  </si>
  <si>
    <t>85321</t>
  </si>
  <si>
    <t>Zasiłki okresowe</t>
  </si>
  <si>
    <t>85214</t>
  </si>
  <si>
    <t>Nadanie numeru PESEL, potwierdzenie tożsamości obywateli Ukrainy i wprowadzenie danych do rejestru danych kontaktowych na wniosek oraz zarządzanie statusem UKR</t>
  </si>
  <si>
    <t>750</t>
  </si>
  <si>
    <t>75011</t>
  </si>
  <si>
    <t>758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</si>
  <si>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</si>
  <si>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</si>
  <si>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</si>
  <si>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</si>
  <si>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</si>
  <si>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</si>
  <si>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</si>
  <si>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</si>
  <si>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</si>
  <si>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</si>
  <si>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</si>
  <si>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80148</t>
  </si>
  <si>
    <t>854</t>
  </si>
  <si>
    <t>85410</t>
  </si>
  <si>
    <t>80153</t>
  </si>
  <si>
    <t>Wyposażenie szkół w podręczniki, materiały edukacyjne lub materiały ćwiczeniowe dla uczniów będących obywatelami Ukrainy w roku szkolnym 2023/2024</t>
  </si>
  <si>
    <t>Stypendia i zasiłki dla uczniów z Ukrainy</t>
  </si>
  <si>
    <t>85415</t>
  </si>
  <si>
    <t>Załącznik Nr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</si>
</sst>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0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7"/>
      <name val="Arial CE"/>
      <charset val="238"/>
    </font>
    <font>
      <u/>
      <sz val="8"/>
      <name val="Arial CE"/>
      <charset val="238"/>
    </font>
    <font>
      <u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 Narrow"/>
      <family val="2"/>
      <charset val="238"/>
    </font>
    <font>
      <sz val="7"/>
      <name val="Arial"/>
      <family val="2"/>
      <charset val="238"/>
    </font>
    <font>
      <b/>
      <sz val="9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9"/>
      <name val="Arial CE"/>
      <family val="2"/>
      <charset val="238"/>
    </font>
    <font>
      <sz val="7"/>
      <color theme="1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8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b/>
      <sz val="8"/>
      <name val="Arial CE"/>
      <charset val="238"/>
    </font>
    <font>
      <sz val="7"/>
      <color theme="1"/>
      <name val="Arial"/>
      <family val="2"/>
      <charset val="238"/>
    </font>
    <font>
      <sz val="11"/>
      <color indexed="8"/>
      <name val="Calibri"/>
      <family val="2"/>
      <charset val="1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b/>
      <sz val="6"/>
      <name val="Arial CE"/>
      <family val="2"/>
      <charset val="238"/>
    </font>
    <font>
      <b/>
      <sz val="8"/>
      <name val="Arial"/>
      <family val="2"/>
      <charset val="238"/>
    </font>
    <font>
      <b/>
      <u/>
      <sz val="8"/>
      <name val="Arial CE"/>
      <family val="2"/>
      <charset val="238"/>
    </font>
    <font>
      <sz val="9"/>
      <name val="Arial CE"/>
      <family val="2"/>
      <charset val="238"/>
    </font>
    <font>
      <sz val="6"/>
      <name val="Arial CE"/>
      <family val="2"/>
      <charset val="238"/>
    </font>
    <font>
      <sz val="10"/>
      <name val="Arial"/>
      <charset val="238"/>
    </font>
    <font>
      <sz val="9"/>
      <name val="Arial CE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name val="Arial CE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6"/>
      <name val="Arial CE"/>
      <charset val="238"/>
    </font>
    <font>
      <u/>
      <sz val="7"/>
      <name val="Arial CE"/>
      <charset val="238"/>
    </font>
    <font>
      <sz val="6"/>
      <name val="Arial CE"/>
      <charset val="238"/>
    </font>
    <font>
      <u/>
      <sz val="9"/>
      <name val="Arial"/>
      <family val="2"/>
      <charset val="238"/>
    </font>
    <font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9"/>
        <bgColor indexed="26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11">
    <xf numFmtId="0" fontId="0" fillId="0" borderId="0"/>
    <xf numFmtId="0" fontId="15" fillId="0" borderId="0"/>
    <xf numFmtId="0" fontId="24" fillId="4" borderId="0" applyNumberFormat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27" fillId="0" borderId="0"/>
    <xf numFmtId="43" fontId="16" fillId="0" borderId="0" applyFill="0" applyBorder="0" applyAlignment="0" applyProtection="0"/>
    <xf numFmtId="0" fontId="16" fillId="0" borderId="0"/>
    <xf numFmtId="0" fontId="35" fillId="0" borderId="0"/>
    <xf numFmtId="0" fontId="16" fillId="0" borderId="0"/>
    <xf numFmtId="0" fontId="16" fillId="0" borderId="0"/>
  </cellStyleXfs>
  <cellXfs count="626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0" fontId="1" fillId="0" borderId="3" xfId="0" applyFont="1" applyBorder="1"/>
    <xf numFmtId="0" fontId="1" fillId="0" borderId="6" xfId="0" applyFont="1" applyBorder="1"/>
    <xf numFmtId="4" fontId="1" fillId="0" borderId="5" xfId="0" applyNumberFormat="1" applyFont="1" applyBorder="1"/>
    <xf numFmtId="4" fontId="1" fillId="0" borderId="5" xfId="0" applyNumberFormat="1" applyFont="1" applyBorder="1" applyAlignment="1">
      <alignment horizontal="right"/>
    </xf>
    <xf numFmtId="0" fontId="1" fillId="0" borderId="4" xfId="0" applyFont="1" applyBorder="1"/>
    <xf numFmtId="4" fontId="2" fillId="0" borderId="3" xfId="0" applyNumberFormat="1" applyFont="1" applyBorder="1" applyAlignment="1">
      <alignment horizontal="right"/>
    </xf>
    <xf numFmtId="4" fontId="1" fillId="0" borderId="3" xfId="0" applyNumberFormat="1" applyFont="1" applyBorder="1"/>
    <xf numFmtId="4" fontId="1" fillId="0" borderId="3" xfId="0" applyNumberFormat="1" applyFont="1" applyBorder="1" applyAlignment="1">
      <alignment horizontal="right"/>
    </xf>
    <xf numFmtId="4" fontId="2" fillId="0" borderId="3" xfId="0" applyNumberFormat="1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4" fontId="8" fillId="0" borderId="0" xfId="0" applyNumberFormat="1" applyFont="1"/>
    <xf numFmtId="4" fontId="7" fillId="0" borderId="0" xfId="0" applyNumberFormat="1" applyFont="1"/>
    <xf numFmtId="4" fontId="9" fillId="0" borderId="0" xfId="0" applyNumberFormat="1" applyFont="1"/>
    <xf numFmtId="0" fontId="10" fillId="0" borderId="0" xfId="0" applyFont="1"/>
    <xf numFmtId="4" fontId="2" fillId="0" borderId="0" xfId="0" applyNumberFormat="1" applyFont="1"/>
    <xf numFmtId="4" fontId="11" fillId="0" borderId="0" xfId="0" applyNumberFormat="1" applyFont="1"/>
    <xf numFmtId="4" fontId="12" fillId="0" borderId="0" xfId="0" applyNumberFormat="1" applyFont="1"/>
    <xf numFmtId="49" fontId="2" fillId="0" borderId="3" xfId="0" applyNumberFormat="1" applyFont="1" applyBorder="1" applyAlignment="1">
      <alignment horizontal="right"/>
    </xf>
    <xf numFmtId="0" fontId="2" fillId="0" borderId="4" xfId="0" applyFont="1" applyBorder="1"/>
    <xf numFmtId="0" fontId="1" fillId="0" borderId="3" xfId="0" applyFont="1" applyBorder="1" applyAlignment="1">
      <alignment horizontal="right" vertical="top"/>
    </xf>
    <xf numFmtId="0" fontId="2" fillId="0" borderId="4" xfId="0" applyFont="1" applyBorder="1" applyAlignment="1">
      <alignment wrapText="1"/>
    </xf>
    <xf numFmtId="0" fontId="2" fillId="0" borderId="3" xfId="0" applyFont="1" applyBorder="1" applyAlignment="1">
      <alignment horizontal="right"/>
    </xf>
    <xf numFmtId="0" fontId="11" fillId="0" borderId="0" xfId="0" applyFont="1"/>
    <xf numFmtId="4" fontId="13" fillId="0" borderId="0" xfId="0" applyNumberFormat="1" applyFont="1"/>
    <xf numFmtId="49" fontId="2" fillId="0" borderId="3" xfId="0" applyNumberFormat="1" applyFont="1" applyBorder="1" applyAlignment="1">
      <alignment horizontal="right" vertical="top"/>
    </xf>
    <xf numFmtId="4" fontId="14" fillId="0" borderId="0" xfId="0" applyNumberFormat="1" applyFont="1"/>
    <xf numFmtId="0" fontId="1" fillId="0" borderId="4" xfId="0" applyFont="1" applyBorder="1" applyAlignment="1">
      <alignment wrapText="1"/>
    </xf>
    <xf numFmtId="3" fontId="5" fillId="0" borderId="5" xfId="0" applyNumberFormat="1" applyFont="1" applyBorder="1"/>
    <xf numFmtId="0" fontId="1" fillId="0" borderId="5" xfId="0" applyFont="1" applyBorder="1"/>
    <xf numFmtId="0" fontId="1" fillId="0" borderId="5" xfId="0" applyFont="1" applyBorder="1" applyAlignment="1">
      <alignment horizontal="right"/>
    </xf>
    <xf numFmtId="4" fontId="2" fillId="0" borderId="5" xfId="0" applyNumberFormat="1" applyFont="1" applyBorder="1"/>
    <xf numFmtId="4" fontId="2" fillId="0" borderId="3" xfId="1" applyNumberFormat="1" applyFont="1" applyBorder="1" applyAlignment="1">
      <alignment horizontal="right"/>
    </xf>
    <xf numFmtId="0" fontId="2" fillId="0" borderId="5" xfId="0" applyFont="1" applyBorder="1"/>
    <xf numFmtId="3" fontId="1" fillId="0" borderId="3" xfId="0" applyNumberFormat="1" applyFont="1" applyBorder="1"/>
    <xf numFmtId="0" fontId="2" fillId="0" borderId="3" xfId="0" applyFont="1" applyBorder="1"/>
    <xf numFmtId="0" fontId="2" fillId="0" borderId="4" xfId="0" applyFont="1" applyBorder="1" applyAlignment="1">
      <alignment vertical="top" wrapText="1"/>
    </xf>
    <xf numFmtId="0" fontId="2" fillId="0" borderId="5" xfId="1" applyFont="1" applyBorder="1"/>
    <xf numFmtId="0" fontId="7" fillId="0" borderId="5" xfId="0" applyFont="1" applyBorder="1"/>
    <xf numFmtId="0" fontId="4" fillId="0" borderId="0" xfId="0" applyFont="1" applyAlignment="1">
      <alignment horizontal="centerContinuous" vertical="center"/>
    </xf>
    <xf numFmtId="0" fontId="16" fillId="0" borderId="0" xfId="0" applyFont="1"/>
    <xf numFmtId="0" fontId="3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0" fontId="18" fillId="0" borderId="0" xfId="0" applyFont="1"/>
    <xf numFmtId="0" fontId="19" fillId="0" borderId="5" xfId="0" applyFont="1" applyBorder="1" applyAlignment="1">
      <alignment vertical="center"/>
    </xf>
    <xf numFmtId="0" fontId="19" fillId="0" borderId="5" xfId="0" applyFont="1" applyBorder="1" applyAlignment="1">
      <alignment horizontal="center" vertical="center"/>
    </xf>
    <xf numFmtId="3" fontId="20" fillId="0" borderId="14" xfId="0" applyNumberFormat="1" applyFont="1" applyBorder="1" applyAlignment="1">
      <alignment vertical="center"/>
    </xf>
    <xf numFmtId="0" fontId="21" fillId="0" borderId="3" xfId="0" applyFont="1" applyBorder="1" applyAlignment="1">
      <alignment horizontal="right" vertical="center"/>
    </xf>
    <xf numFmtId="0" fontId="22" fillId="0" borderId="3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indent="2"/>
    </xf>
    <xf numFmtId="4" fontId="22" fillId="0" borderId="1" xfId="0" applyNumberFormat="1" applyFont="1" applyBorder="1" applyAlignment="1">
      <alignment vertical="center"/>
    </xf>
    <xf numFmtId="0" fontId="21" fillId="0" borderId="3" xfId="0" applyFont="1" applyBorder="1" applyAlignment="1">
      <alignment horizontal="left" vertical="center" indent="2"/>
    </xf>
    <xf numFmtId="4" fontId="22" fillId="0" borderId="3" xfId="0" applyNumberFormat="1" applyFont="1" applyBorder="1" applyAlignment="1">
      <alignment vertical="center"/>
    </xf>
    <xf numFmtId="4" fontId="22" fillId="0" borderId="3" xfId="0" applyNumberFormat="1" applyFont="1" applyBorder="1" applyAlignment="1">
      <alignment vertical="top"/>
    </xf>
    <xf numFmtId="4" fontId="22" fillId="0" borderId="3" xfId="0" applyNumberFormat="1" applyFont="1" applyBorder="1" applyAlignment="1">
      <alignment horizontal="right" vertical="center"/>
    </xf>
    <xf numFmtId="0" fontId="21" fillId="0" borderId="3" xfId="0" applyFont="1" applyBorder="1" applyAlignment="1">
      <alignment horizontal="right" vertical="top"/>
    </xf>
    <xf numFmtId="0" fontId="22" fillId="0" borderId="3" xfId="0" applyFont="1" applyBorder="1" applyAlignment="1">
      <alignment horizontal="center" vertical="top"/>
    </xf>
    <xf numFmtId="0" fontId="21" fillId="0" borderId="3" xfId="0" applyFont="1" applyBorder="1" applyAlignment="1">
      <alignment horizontal="left" vertical="top" wrapText="1" indent="2"/>
    </xf>
    <xf numFmtId="4" fontId="22" fillId="0" borderId="3" xfId="0" applyNumberFormat="1" applyFont="1" applyBorder="1"/>
    <xf numFmtId="0" fontId="22" fillId="0" borderId="13" xfId="0" applyFont="1" applyBorder="1" applyAlignment="1">
      <alignment horizontal="right" vertical="center"/>
    </xf>
    <xf numFmtId="0" fontId="19" fillId="0" borderId="13" xfId="0" applyFont="1" applyBorder="1" applyAlignment="1">
      <alignment horizontal="center"/>
    </xf>
    <xf numFmtId="0" fontId="21" fillId="0" borderId="13" xfId="0" applyFont="1" applyBorder="1" applyAlignment="1">
      <alignment horizontal="left" vertical="center" indent="2"/>
    </xf>
    <xf numFmtId="4" fontId="22" fillId="0" borderId="13" xfId="0" applyNumberFormat="1" applyFont="1" applyBorder="1" applyAlignment="1">
      <alignment vertical="center"/>
    </xf>
    <xf numFmtId="0" fontId="21" fillId="0" borderId="3" xfId="0" applyFont="1" applyBorder="1" applyAlignment="1">
      <alignment horizontal="left" vertical="center" wrapText="1" indent="2"/>
    </xf>
    <xf numFmtId="0" fontId="21" fillId="0" borderId="5" xfId="0" applyFont="1" applyBorder="1" applyAlignment="1">
      <alignment horizontal="right" vertical="center"/>
    </xf>
    <xf numFmtId="0" fontId="22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horizontal="left" vertical="center" indent="2"/>
    </xf>
    <xf numFmtId="4" fontId="22" fillId="0" borderId="5" xfId="0" applyNumberFormat="1" applyFont="1" applyBorder="1" applyAlignment="1">
      <alignment vertical="center"/>
    </xf>
    <xf numFmtId="4" fontId="22" fillId="0" borderId="5" xfId="0" applyNumberFormat="1" applyFont="1" applyBorder="1" applyAlignment="1">
      <alignment horizontal="right" vertical="center"/>
    </xf>
    <xf numFmtId="0" fontId="22" fillId="3" borderId="5" xfId="0" applyFont="1" applyFill="1" applyBorder="1" applyAlignment="1">
      <alignment horizontal="right" vertical="center"/>
    </xf>
    <xf numFmtId="0" fontId="22" fillId="3" borderId="5" xfId="0" applyFont="1" applyFill="1" applyBorder="1" applyAlignment="1">
      <alignment vertical="center"/>
    </xf>
    <xf numFmtId="0" fontId="23" fillId="0" borderId="0" xfId="0" applyFont="1"/>
    <xf numFmtId="3" fontId="5" fillId="0" borderId="3" xfId="0" applyNumberFormat="1" applyFont="1" applyBorder="1" applyAlignment="1">
      <alignment horizontal="right"/>
    </xf>
    <xf numFmtId="0" fontId="1" fillId="0" borderId="3" xfId="0" applyFont="1" applyBorder="1" applyAlignment="1">
      <alignment horizontal="center"/>
    </xf>
    <xf numFmtId="49" fontId="1" fillId="0" borderId="3" xfId="0" applyNumberFormat="1" applyFont="1" applyBorder="1" applyAlignment="1">
      <alignment horizontal="right" vertical="top"/>
    </xf>
    <xf numFmtId="0" fontId="1" fillId="0" borderId="3" xfId="0" applyFont="1" applyBorder="1" applyAlignment="1">
      <alignment wrapText="1"/>
    </xf>
    <xf numFmtId="4" fontId="1" fillId="0" borderId="3" xfId="0" applyNumberFormat="1" applyFont="1" applyBorder="1" applyAlignment="1">
      <alignment horizontal="center"/>
    </xf>
    <xf numFmtId="4" fontId="5" fillId="0" borderId="3" xfId="0" applyNumberFormat="1" applyFont="1" applyBorder="1"/>
    <xf numFmtId="0" fontId="2" fillId="0" borderId="6" xfId="0" applyFont="1" applyBorder="1"/>
    <xf numFmtId="3" fontId="1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 vertical="top"/>
    </xf>
    <xf numFmtId="3" fontId="2" fillId="0" borderId="4" xfId="0" applyNumberFormat="1" applyFont="1" applyBorder="1" applyAlignment="1">
      <alignment wrapText="1"/>
    </xf>
    <xf numFmtId="3" fontId="2" fillId="0" borderId="3" xfId="0" applyNumberFormat="1" applyFont="1" applyBorder="1"/>
    <xf numFmtId="0" fontId="5" fillId="0" borderId="3" xfId="0" applyFont="1" applyBorder="1"/>
    <xf numFmtId="0" fontId="5" fillId="0" borderId="4" xfId="0" applyFont="1" applyBorder="1"/>
    <xf numFmtId="4" fontId="1" fillId="0" borderId="0" xfId="0" applyNumberFormat="1" applyFont="1"/>
    <xf numFmtId="49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vertical="top" wrapText="1"/>
    </xf>
    <xf numFmtId="4" fontId="7" fillId="0" borderId="0" xfId="0" applyNumberFormat="1" applyFont="1" applyAlignment="1">
      <alignment horizontal="right"/>
    </xf>
    <xf numFmtId="3" fontId="1" fillId="0" borderId="4" xfId="0" applyNumberFormat="1" applyFont="1" applyBorder="1"/>
    <xf numFmtId="4" fontId="5" fillId="0" borderId="3" xfId="0" applyNumberFormat="1" applyFont="1" applyBorder="1" applyAlignment="1">
      <alignment horizontal="right"/>
    </xf>
    <xf numFmtId="3" fontId="2" fillId="0" borderId="6" xfId="0" applyNumberFormat="1" applyFont="1" applyBorder="1"/>
    <xf numFmtId="4" fontId="18" fillId="0" borderId="0" xfId="0" applyNumberFormat="1" applyFont="1" applyAlignment="1">
      <alignment horizontal="right"/>
    </xf>
    <xf numFmtId="4" fontId="18" fillId="0" borderId="0" xfId="0" applyNumberFormat="1" applyFont="1"/>
    <xf numFmtId="3" fontId="1" fillId="0" borderId="5" xfId="0" applyNumberFormat="1" applyFont="1" applyBorder="1" applyAlignment="1">
      <alignment horizontal="right"/>
    </xf>
    <xf numFmtId="49" fontId="1" fillId="0" borderId="5" xfId="0" applyNumberFormat="1" applyFont="1" applyBorder="1" applyAlignment="1">
      <alignment horizontal="right" vertical="top"/>
    </xf>
    <xf numFmtId="0" fontId="1" fillId="0" borderId="6" xfId="0" applyFont="1" applyBorder="1" applyAlignment="1">
      <alignment vertical="top" wrapText="1"/>
    </xf>
    <xf numFmtId="3" fontId="25" fillId="0" borderId="3" xfId="0" applyNumberFormat="1" applyFont="1" applyBorder="1"/>
    <xf numFmtId="49" fontId="25" fillId="0" borderId="3" xfId="0" applyNumberFormat="1" applyFont="1" applyBorder="1" applyAlignment="1">
      <alignment horizontal="right"/>
    </xf>
    <xf numFmtId="3" fontId="25" fillId="0" borderId="4" xfId="0" applyNumberFormat="1" applyFont="1" applyBorder="1"/>
    <xf numFmtId="0" fontId="1" fillId="0" borderId="3" xfId="0" applyFont="1" applyBorder="1" applyAlignment="1">
      <alignment vertical="top" wrapText="1"/>
    </xf>
    <xf numFmtId="3" fontId="1" fillId="0" borderId="6" xfId="0" applyNumberFormat="1" applyFont="1" applyBorder="1"/>
    <xf numFmtId="3" fontId="1" fillId="0" borderId="5" xfId="0" applyNumberFormat="1" applyFont="1" applyBorder="1"/>
    <xf numFmtId="0" fontId="1" fillId="0" borderId="5" xfId="0" applyFont="1" applyBorder="1" applyAlignment="1">
      <alignment horizontal="right" vertical="top"/>
    </xf>
    <xf numFmtId="0" fontId="1" fillId="0" borderId="6" xfId="0" applyFont="1" applyBorder="1" applyAlignment="1">
      <alignment wrapText="1"/>
    </xf>
    <xf numFmtId="4" fontId="2" fillId="0" borderId="15" xfId="0" applyNumberFormat="1" applyFont="1" applyBorder="1" applyAlignment="1">
      <alignment horizontal="right"/>
    </xf>
    <xf numFmtId="4" fontId="1" fillId="0" borderId="15" xfId="0" applyNumberFormat="1" applyFont="1" applyBorder="1"/>
    <xf numFmtId="49" fontId="2" fillId="0" borderId="3" xfId="0" applyNumberFormat="1" applyFont="1" applyBorder="1" applyAlignment="1">
      <alignment horizontal="center"/>
    </xf>
    <xf numFmtId="49" fontId="25" fillId="0" borderId="3" xfId="0" applyNumberFormat="1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10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4" fontId="25" fillId="0" borderId="10" xfId="0" applyNumberFormat="1" applyFont="1" applyBorder="1"/>
    <xf numFmtId="3" fontId="5" fillId="0" borderId="5" xfId="0" applyNumberFormat="1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3" fontId="25" fillId="0" borderId="3" xfId="0" applyNumberFormat="1" applyFont="1" applyBorder="1" applyAlignment="1">
      <alignment horizontal="right"/>
    </xf>
    <xf numFmtId="0" fontId="25" fillId="0" borderId="3" xfId="0" applyFont="1" applyBorder="1"/>
    <xf numFmtId="0" fontId="25" fillId="0" borderId="3" xfId="0" applyFont="1" applyBorder="1" applyAlignment="1">
      <alignment horizontal="right"/>
    </xf>
    <xf numFmtId="0" fontId="25" fillId="0" borderId="4" xfId="0" applyFont="1" applyBorder="1"/>
    <xf numFmtId="0" fontId="1" fillId="0" borderId="4" xfId="0" applyFont="1" applyBorder="1" applyAlignment="1">
      <alignment vertical="top"/>
    </xf>
    <xf numFmtId="4" fontId="2" fillId="0" borderId="3" xfId="0" applyNumberFormat="1" applyFont="1" applyBorder="1" applyAlignment="1">
      <alignment horizontal="right" vertical="center"/>
    </xf>
    <xf numFmtId="0" fontId="2" fillId="0" borderId="3" xfId="3" applyFont="1" applyBorder="1" applyAlignment="1">
      <alignment horizontal="right"/>
    </xf>
    <xf numFmtId="0" fontId="2" fillId="0" borderId="3" xfId="3" applyFont="1" applyBorder="1"/>
    <xf numFmtId="4" fontId="2" fillId="0" borderId="1" xfId="0" applyNumberFormat="1" applyFont="1" applyBorder="1"/>
    <xf numFmtId="0" fontId="1" fillId="0" borderId="4" xfId="0" applyFont="1" applyBorder="1" applyAlignment="1">
      <alignment vertical="center" wrapText="1"/>
    </xf>
    <xf numFmtId="3" fontId="2" fillId="0" borderId="4" xfId="0" applyNumberFormat="1" applyFont="1" applyBorder="1"/>
    <xf numFmtId="0" fontId="2" fillId="0" borderId="6" xfId="0" applyFont="1" applyBorder="1" applyAlignment="1">
      <alignment vertical="top" wrapText="1"/>
    </xf>
    <xf numFmtId="4" fontId="2" fillId="0" borderId="5" xfId="0" applyNumberFormat="1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4" fontId="2" fillId="0" borderId="3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right"/>
    </xf>
    <xf numFmtId="0" fontId="2" fillId="0" borderId="3" xfId="1" applyFont="1" applyBorder="1"/>
    <xf numFmtId="49" fontId="2" fillId="0" borderId="3" xfId="0" applyNumberFormat="1" applyFont="1" applyBorder="1"/>
    <xf numFmtId="4" fontId="1" fillId="0" borderId="19" xfId="0" applyNumberFormat="1" applyFont="1" applyBorder="1" applyAlignment="1">
      <alignment horizontal="right"/>
    </xf>
    <xf numFmtId="4" fontId="26" fillId="0" borderId="0" xfId="0" applyNumberFormat="1" applyFont="1"/>
    <xf numFmtId="0" fontId="23" fillId="0" borderId="3" xfId="0" applyFont="1" applyBorder="1"/>
    <xf numFmtId="0" fontId="25" fillId="0" borderId="3" xfId="1" applyFont="1" applyBorder="1" applyAlignment="1">
      <alignment horizontal="center"/>
    </xf>
    <xf numFmtId="0" fontId="2" fillId="0" borderId="3" xfId="1" applyFont="1" applyBorder="1" applyAlignment="1">
      <alignment horizontal="right"/>
    </xf>
    <xf numFmtId="0" fontId="25" fillId="0" borderId="3" xfId="1" applyFont="1" applyBorder="1"/>
    <xf numFmtId="0" fontId="25" fillId="0" borderId="3" xfId="1" applyFont="1" applyBorder="1" applyAlignment="1">
      <alignment horizontal="right"/>
    </xf>
    <xf numFmtId="0" fontId="2" fillId="0" borderId="3" xfId="1" applyFont="1" applyBorder="1" applyAlignment="1">
      <alignment horizontal="center"/>
    </xf>
    <xf numFmtId="49" fontId="5" fillId="0" borderId="3" xfId="0" applyNumberFormat="1" applyFont="1" applyBorder="1"/>
    <xf numFmtId="0" fontId="5" fillId="0" borderId="3" xfId="1" applyFont="1" applyBorder="1" applyAlignment="1">
      <alignment horizontal="center"/>
    </xf>
    <xf numFmtId="0" fontId="1" fillId="0" borderId="3" xfId="1" applyFont="1" applyBorder="1" applyAlignment="1">
      <alignment horizontal="center"/>
    </xf>
    <xf numFmtId="0" fontId="5" fillId="0" borderId="3" xfId="1" applyFont="1" applyBorder="1"/>
    <xf numFmtId="49" fontId="1" fillId="0" borderId="3" xfId="1" applyNumberFormat="1" applyFont="1" applyBorder="1" applyAlignment="1">
      <alignment horizontal="right"/>
    </xf>
    <xf numFmtId="0" fontId="2" fillId="0" borderId="6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 wrapText="1"/>
    </xf>
    <xf numFmtId="0" fontId="2" fillId="0" borderId="3" xfId="0" applyFont="1" applyBorder="1" applyAlignment="1">
      <alignment wrapText="1"/>
    </xf>
    <xf numFmtId="43" fontId="5" fillId="0" borderId="3" xfId="4" applyFont="1" applyBorder="1" applyAlignment="1">
      <alignment horizontal="right"/>
    </xf>
    <xf numFmtId="43" fontId="5" fillId="0" borderId="3" xfId="4" applyFont="1" applyBorder="1"/>
    <xf numFmtId="43" fontId="2" fillId="0" borderId="4" xfId="4" applyFont="1" applyBorder="1" applyAlignment="1">
      <alignment wrapText="1"/>
    </xf>
    <xf numFmtId="43" fontId="2" fillId="0" borderId="3" xfId="4" applyFont="1" applyBorder="1" applyAlignment="1">
      <alignment horizontal="right"/>
    </xf>
    <xf numFmtId="43" fontId="1" fillId="0" borderId="3" xfId="4" applyFont="1" applyBorder="1" applyAlignment="1">
      <alignment horizontal="right"/>
    </xf>
    <xf numFmtId="0" fontId="5" fillId="0" borderId="0" xfId="5" applyFont="1" applyAlignment="1">
      <alignment horizontal="center" vertical="center"/>
    </xf>
    <xf numFmtId="0" fontId="1" fillId="0" borderId="0" xfId="5" applyFont="1" applyAlignment="1">
      <alignment horizontal="center" vertical="center"/>
    </xf>
    <xf numFmtId="0" fontId="1" fillId="0" borderId="0" xfId="5" applyFont="1"/>
    <xf numFmtId="0" fontId="1" fillId="0" borderId="0" xfId="5" applyFont="1" applyAlignment="1">
      <alignment horizontal="right" vertical="center"/>
    </xf>
    <xf numFmtId="0" fontId="1" fillId="0" borderId="0" xfId="5" applyFont="1" applyAlignment="1">
      <alignment horizontal="left" vertical="center"/>
    </xf>
    <xf numFmtId="0" fontId="1" fillId="0" borderId="0" xfId="5" applyFont="1" applyAlignment="1">
      <alignment horizontal="center"/>
    </xf>
    <xf numFmtId="0" fontId="28" fillId="0" borderId="0" xfId="5" applyFont="1"/>
    <xf numFmtId="0" fontId="5" fillId="0" borderId="0" xfId="5" applyFont="1" applyAlignment="1">
      <alignment horizontal="centerContinuous" vertical="center"/>
    </xf>
    <xf numFmtId="0" fontId="5" fillId="0" borderId="0" xfId="5" applyFont="1" applyAlignment="1">
      <alignment horizontal="center"/>
    </xf>
    <xf numFmtId="0" fontId="29" fillId="0" borderId="0" xfId="5" applyFont="1" applyAlignment="1">
      <alignment horizontal="left"/>
    </xf>
    <xf numFmtId="0" fontId="5" fillId="5" borderId="20" xfId="5" applyFont="1" applyFill="1" applyBorder="1" applyAlignment="1">
      <alignment horizontal="center" vertical="center"/>
    </xf>
    <xf numFmtId="0" fontId="1" fillId="5" borderId="20" xfId="5" applyFont="1" applyFill="1" applyBorder="1" applyAlignment="1">
      <alignment horizontal="center" vertical="center"/>
    </xf>
    <xf numFmtId="0" fontId="5" fillId="0" borderId="20" xfId="5" applyFont="1" applyBorder="1" applyAlignment="1">
      <alignment horizontal="center" vertical="center"/>
    </xf>
    <xf numFmtId="0" fontId="5" fillId="5" borderId="21" xfId="5" applyFont="1" applyFill="1" applyBorder="1" applyAlignment="1">
      <alignment horizontal="centerContinuous" vertical="center"/>
    </xf>
    <xf numFmtId="0" fontId="5" fillId="5" borderId="22" xfId="5" applyFont="1" applyFill="1" applyBorder="1" applyAlignment="1">
      <alignment horizontal="centerContinuous" vertical="center"/>
    </xf>
    <xf numFmtId="0" fontId="5" fillId="5" borderId="23" xfId="5" applyFont="1" applyFill="1" applyBorder="1" applyAlignment="1">
      <alignment horizontal="centerContinuous" vertical="center"/>
    </xf>
    <xf numFmtId="0" fontId="5" fillId="5" borderId="24" xfId="5" applyFont="1" applyFill="1" applyBorder="1" applyAlignment="1">
      <alignment horizontal="centerContinuous" vertical="center"/>
    </xf>
    <xf numFmtId="0" fontId="30" fillId="5" borderId="24" xfId="5" applyFont="1" applyFill="1" applyBorder="1" applyAlignment="1">
      <alignment horizontal="center" vertical="center"/>
    </xf>
    <xf numFmtId="0" fontId="30" fillId="5" borderId="20" xfId="5" applyFont="1" applyFill="1" applyBorder="1" applyAlignment="1">
      <alignment horizontal="center" vertical="center"/>
    </xf>
    <xf numFmtId="0" fontId="28" fillId="0" borderId="0" xfId="5" applyFont="1" applyAlignment="1">
      <alignment horizontal="center" vertical="center"/>
    </xf>
    <xf numFmtId="0" fontId="5" fillId="5" borderId="25" xfId="5" applyFont="1" applyFill="1" applyBorder="1" applyAlignment="1">
      <alignment horizontal="center" vertical="center"/>
    </xf>
    <xf numFmtId="0" fontId="5" fillId="5" borderId="26" xfId="5" applyFont="1" applyFill="1" applyBorder="1" applyAlignment="1">
      <alignment horizontal="center" vertical="center"/>
    </xf>
    <xf numFmtId="0" fontId="1" fillId="5" borderId="26" xfId="5" applyFont="1" applyFill="1" applyBorder="1" applyAlignment="1">
      <alignment horizontal="center" vertical="center"/>
    </xf>
    <xf numFmtId="0" fontId="5" fillId="0" borderId="26" xfId="5" applyFont="1" applyBorder="1" applyAlignment="1">
      <alignment horizontal="center" vertical="center"/>
    </xf>
    <xf numFmtId="0" fontId="5" fillId="5" borderId="0" xfId="5" applyFont="1" applyFill="1" applyAlignment="1">
      <alignment horizontal="center" vertical="center"/>
    </xf>
    <xf numFmtId="0" fontId="5" fillId="5" borderId="21" xfId="5" applyFont="1" applyFill="1" applyBorder="1" applyAlignment="1">
      <alignment horizontal="center" vertical="center"/>
    </xf>
    <xf numFmtId="0" fontId="1" fillId="0" borderId="27" xfId="5" applyFont="1" applyBorder="1" applyAlignment="1">
      <alignment horizontal="center" vertical="center" wrapText="1"/>
    </xf>
    <xf numFmtId="0" fontId="30" fillId="5" borderId="0" xfId="5" applyFont="1" applyFill="1" applyAlignment="1">
      <alignment horizontal="center" vertical="center"/>
    </xf>
    <xf numFmtId="0" fontId="30" fillId="5" borderId="25" xfId="5" applyFont="1" applyFill="1" applyBorder="1" applyAlignment="1">
      <alignment horizontal="center" vertical="center"/>
    </xf>
    <xf numFmtId="0" fontId="5" fillId="5" borderId="24" xfId="5" applyFont="1" applyFill="1" applyBorder="1" applyAlignment="1">
      <alignment horizontal="center" vertical="center"/>
    </xf>
    <xf numFmtId="0" fontId="30" fillId="5" borderId="26" xfId="5" applyFont="1" applyFill="1" applyBorder="1" applyAlignment="1">
      <alignment horizontal="center" vertical="center"/>
    </xf>
    <xf numFmtId="0" fontId="5" fillId="5" borderId="28" xfId="5" applyFont="1" applyFill="1" applyBorder="1" applyAlignment="1">
      <alignment horizontal="center" vertical="center"/>
    </xf>
    <xf numFmtId="0" fontId="5" fillId="5" borderId="29" xfId="5" applyFont="1" applyFill="1" applyBorder="1" applyAlignment="1">
      <alignment horizontal="center" vertical="center"/>
    </xf>
    <xf numFmtId="0" fontId="1" fillId="5" borderId="29" xfId="5" applyFont="1" applyFill="1" applyBorder="1" applyAlignment="1">
      <alignment horizontal="center" vertical="center"/>
    </xf>
    <xf numFmtId="0" fontId="5" fillId="0" borderId="29" xfId="5" applyFont="1" applyBorder="1" applyAlignment="1">
      <alignment horizontal="center" vertical="center"/>
    </xf>
    <xf numFmtId="0" fontId="5" fillId="5" borderId="30" xfId="5" applyFont="1" applyFill="1" applyBorder="1" applyAlignment="1" applyProtection="1">
      <alignment horizontal="center" vertical="center"/>
      <protection locked="0"/>
    </xf>
    <xf numFmtId="0" fontId="1" fillId="5" borderId="30" xfId="5" applyFont="1" applyFill="1" applyBorder="1" applyAlignment="1" applyProtection="1">
      <alignment horizontal="center" vertical="center"/>
      <protection locked="0"/>
    </xf>
    <xf numFmtId="0" fontId="1" fillId="0" borderId="30" xfId="5" applyFont="1" applyBorder="1" applyAlignment="1" applyProtection="1">
      <alignment horizontal="center" vertical="center"/>
      <protection locked="0"/>
    </xf>
    <xf numFmtId="0" fontId="1" fillId="0" borderId="21" xfId="5" applyFont="1" applyBorder="1" applyAlignment="1" applyProtection="1">
      <alignment horizontal="center" vertical="center"/>
      <protection locked="0"/>
    </xf>
    <xf numFmtId="0" fontId="1" fillId="5" borderId="24" xfId="5" applyFont="1" applyFill="1" applyBorder="1" applyAlignment="1" applyProtection="1">
      <alignment horizontal="center" vertical="center"/>
      <protection locked="0"/>
    </xf>
    <xf numFmtId="0" fontId="1" fillId="5" borderId="27" xfId="5" applyFont="1" applyFill="1" applyBorder="1" applyAlignment="1" applyProtection="1">
      <alignment horizontal="center" vertical="center"/>
      <protection locked="0"/>
    </xf>
    <xf numFmtId="0" fontId="1" fillId="5" borderId="23" xfId="5" applyFont="1" applyFill="1" applyBorder="1" applyAlignment="1" applyProtection="1">
      <alignment horizontal="center" vertical="center"/>
      <protection locked="0"/>
    </xf>
    <xf numFmtId="0" fontId="28" fillId="0" borderId="0" xfId="5" applyFont="1" applyProtection="1">
      <protection locked="0"/>
    </xf>
    <xf numFmtId="4" fontId="31" fillId="0" borderId="30" xfId="6" applyNumberFormat="1" applyFont="1" applyFill="1" applyBorder="1" applyAlignment="1">
      <alignment horizontal="right" vertical="center"/>
    </xf>
    <xf numFmtId="2" fontId="31" fillId="0" borderId="30" xfId="6" applyNumberFormat="1" applyFont="1" applyFill="1" applyBorder="1" applyAlignment="1">
      <alignment horizontal="right" vertical="center"/>
    </xf>
    <xf numFmtId="43" fontId="25" fillId="0" borderId="30" xfId="6" applyFont="1" applyFill="1" applyBorder="1" applyAlignment="1">
      <alignment horizontal="right" vertical="center" wrapText="1"/>
    </xf>
    <xf numFmtId="43" fontId="31" fillId="0" borderId="30" xfId="6" applyFont="1" applyFill="1" applyBorder="1" applyAlignment="1">
      <alignment horizontal="right" vertical="center"/>
    </xf>
    <xf numFmtId="0" fontId="32" fillId="0" borderId="20" xfId="5" applyFont="1" applyBorder="1" applyAlignment="1">
      <alignment horizontal="center" vertical="center"/>
    </xf>
    <xf numFmtId="0" fontId="1" fillId="0" borderId="20" xfId="5" applyFont="1" applyBorder="1" applyAlignment="1">
      <alignment horizontal="center" vertical="center"/>
    </xf>
    <xf numFmtId="0" fontId="32" fillId="0" borderId="28" xfId="5" applyFont="1" applyBorder="1" applyAlignment="1">
      <alignment vertical="center" wrapText="1"/>
    </xf>
    <xf numFmtId="43" fontId="31" fillId="0" borderId="20" xfId="6" applyFont="1" applyBorder="1" applyAlignment="1">
      <alignment horizontal="right" vertical="center"/>
    </xf>
    <xf numFmtId="2" fontId="31" fillId="0" borderId="20" xfId="6" applyNumberFormat="1" applyFont="1" applyBorder="1" applyAlignment="1">
      <alignment horizontal="right" vertical="center"/>
    </xf>
    <xf numFmtId="0" fontId="25" fillId="0" borderId="28" xfId="5" applyFont="1" applyBorder="1" applyAlignment="1">
      <alignment vertical="center" wrapText="1"/>
    </xf>
    <xf numFmtId="0" fontId="2" fillId="0" borderId="20" xfId="5" applyFont="1" applyBorder="1" applyAlignment="1">
      <alignment horizontal="center" vertical="center"/>
    </xf>
    <xf numFmtId="2" fontId="2" fillId="0" borderId="20" xfId="6" applyNumberFormat="1" applyFont="1" applyBorder="1" applyAlignment="1">
      <alignment horizontal="right" vertical="center"/>
    </xf>
    <xf numFmtId="43" fontId="2" fillId="0" borderId="20" xfId="6" applyFont="1" applyBorder="1" applyAlignment="1">
      <alignment horizontal="right" vertical="center"/>
    </xf>
    <xf numFmtId="0" fontId="2" fillId="0" borderId="25" xfId="5" applyFont="1" applyBorder="1" applyAlignment="1">
      <alignment horizontal="center" vertical="center"/>
    </xf>
    <xf numFmtId="0" fontId="8" fillId="0" borderId="25" xfId="5" applyFont="1" applyBorder="1" applyAlignment="1">
      <alignment horizontal="center" vertical="center"/>
    </xf>
    <xf numFmtId="0" fontId="2" fillId="0" borderId="28" xfId="5" applyFont="1" applyBorder="1" applyAlignment="1">
      <alignment vertical="center" wrapText="1"/>
    </xf>
    <xf numFmtId="43" fontId="23" fillId="0" borderId="25" xfId="6" applyFont="1" applyBorder="1" applyAlignment="1">
      <alignment horizontal="right" vertical="center"/>
    </xf>
    <xf numFmtId="43" fontId="23" fillId="0" borderId="25" xfId="6" applyFont="1" applyBorder="1" applyAlignment="1">
      <alignment horizontal="center" vertical="center"/>
    </xf>
    <xf numFmtId="2" fontId="23" fillId="0" borderId="25" xfId="6" applyNumberFormat="1" applyFont="1" applyBorder="1" applyAlignment="1">
      <alignment horizontal="right" vertical="center"/>
    </xf>
    <xf numFmtId="0" fontId="32" fillId="0" borderId="30" xfId="5" applyFont="1" applyBorder="1" applyAlignment="1">
      <alignment horizontal="center" vertical="center"/>
    </xf>
    <xf numFmtId="0" fontId="5" fillId="0" borderId="30" xfId="5" applyFont="1" applyBorder="1" applyAlignment="1">
      <alignment horizontal="center" vertical="center"/>
    </xf>
    <xf numFmtId="0" fontId="1" fillId="0" borderId="30" xfId="5" applyFont="1" applyBorder="1" applyAlignment="1">
      <alignment horizontal="center" vertical="center"/>
    </xf>
    <xf numFmtId="0" fontId="32" fillId="0" borderId="30" xfId="5" applyFont="1" applyBorder="1" applyAlignment="1">
      <alignment horizontal="left" vertical="center" wrapText="1"/>
    </xf>
    <xf numFmtId="43" fontId="31" fillId="0" borderId="30" xfId="6" applyFont="1" applyBorder="1" applyAlignment="1">
      <alignment horizontal="right" vertical="center"/>
    </xf>
    <xf numFmtId="2" fontId="31" fillId="0" borderId="30" xfId="6" applyNumberFormat="1" applyFont="1" applyBorder="1" applyAlignment="1">
      <alignment horizontal="right" vertical="center"/>
    </xf>
    <xf numFmtId="43" fontId="25" fillId="0" borderId="30" xfId="6" applyFont="1" applyBorder="1" applyAlignment="1">
      <alignment horizontal="right" vertical="center"/>
    </xf>
    <xf numFmtId="0" fontId="5" fillId="0" borderId="30" xfId="5" applyFont="1" applyBorder="1" applyAlignment="1">
      <alignment vertical="center" wrapText="1"/>
    </xf>
    <xf numFmtId="2" fontId="25" fillId="0" borderId="30" xfId="6" applyNumberFormat="1" applyFont="1" applyBorder="1" applyAlignment="1">
      <alignment horizontal="right" vertical="center"/>
    </xf>
    <xf numFmtId="4" fontId="5" fillId="0" borderId="30" xfId="5" applyNumberFormat="1" applyFont="1" applyBorder="1" applyAlignment="1">
      <alignment horizontal="right" vertical="center"/>
    </xf>
    <xf numFmtId="2" fontId="25" fillId="0" borderId="20" xfId="6" applyNumberFormat="1" applyFont="1" applyBorder="1" applyAlignment="1">
      <alignment horizontal="right" vertical="center"/>
    </xf>
    <xf numFmtId="4" fontId="5" fillId="0" borderId="20" xfId="5" applyNumberFormat="1" applyFont="1" applyBorder="1" applyAlignment="1">
      <alignment horizontal="right" vertical="center"/>
    </xf>
    <xf numFmtId="0" fontId="5" fillId="0" borderId="28" xfId="5" applyFont="1" applyBorder="1" applyAlignment="1">
      <alignment horizontal="center" vertical="center"/>
    </xf>
    <xf numFmtId="0" fontId="8" fillId="0" borderId="28" xfId="5" applyFont="1" applyBorder="1" applyAlignment="1">
      <alignment horizontal="center" vertical="center"/>
    </xf>
    <xf numFmtId="0" fontId="1" fillId="0" borderId="28" xfId="5" applyFont="1" applyBorder="1" applyAlignment="1">
      <alignment horizontal="center" vertical="center"/>
    </xf>
    <xf numFmtId="43" fontId="23" fillId="0" borderId="28" xfId="6" applyFont="1" applyBorder="1" applyAlignment="1">
      <alignment horizontal="right" vertical="center"/>
    </xf>
    <xf numFmtId="2" fontId="25" fillId="0" borderId="28" xfId="6" applyNumberFormat="1" applyFont="1" applyBorder="1" applyAlignment="1">
      <alignment horizontal="right" vertical="center"/>
    </xf>
    <xf numFmtId="4" fontId="2" fillId="0" borderId="28" xfId="5" applyNumberFormat="1" applyFont="1" applyBorder="1" applyAlignment="1">
      <alignment horizontal="center" vertical="center"/>
    </xf>
    <xf numFmtId="4" fontId="5" fillId="0" borderId="28" xfId="5" applyNumberFormat="1" applyFont="1" applyBorder="1" applyAlignment="1">
      <alignment horizontal="center" vertical="center"/>
    </xf>
    <xf numFmtId="4" fontId="2" fillId="0" borderId="28" xfId="5" applyNumberFormat="1" applyFont="1" applyBorder="1" applyAlignment="1">
      <alignment horizontal="right" vertical="center"/>
    </xf>
    <xf numFmtId="0" fontId="1" fillId="0" borderId="22" xfId="5" applyFont="1" applyBorder="1" applyAlignment="1">
      <alignment horizontal="center" vertical="center"/>
    </xf>
    <xf numFmtId="0" fontId="1" fillId="0" borderId="0" xfId="5" applyFont="1" applyAlignment="1">
      <alignment horizontal="left" vertical="center" wrapText="1"/>
    </xf>
    <xf numFmtId="4" fontId="1" fillId="0" borderId="0" xfId="5" applyNumberFormat="1" applyFont="1" applyAlignment="1">
      <alignment horizontal="right" vertical="center"/>
    </xf>
    <xf numFmtId="0" fontId="29" fillId="0" borderId="0" xfId="5" applyFont="1" applyAlignment="1">
      <alignment horizontal="center" vertical="center"/>
    </xf>
    <xf numFmtId="4" fontId="28" fillId="0" borderId="0" xfId="5" applyNumberFormat="1" applyFont="1" applyAlignment="1">
      <alignment horizontal="right" vertical="center"/>
    </xf>
    <xf numFmtId="0" fontId="28" fillId="0" borderId="0" xfId="5" applyFont="1" applyAlignment="1">
      <alignment horizontal="center"/>
    </xf>
    <xf numFmtId="0" fontId="28" fillId="0" borderId="0" xfId="5" applyFont="1" applyAlignment="1">
      <alignment horizontal="right" vertical="center"/>
    </xf>
    <xf numFmtId="0" fontId="1" fillId="0" borderId="0" xfId="7" applyFont="1"/>
    <xf numFmtId="0" fontId="1" fillId="0" borderId="0" xfId="7" applyFont="1" applyAlignment="1">
      <alignment horizontal="left"/>
    </xf>
    <xf numFmtId="0" fontId="33" fillId="0" borderId="0" xfId="7" applyFont="1"/>
    <xf numFmtId="0" fontId="4" fillId="0" borderId="0" xfId="7" applyFont="1" applyAlignment="1">
      <alignment horizontal="centerContinuous" vertical="center" wrapText="1"/>
    </xf>
    <xf numFmtId="0" fontId="4" fillId="0" borderId="0" xfId="7" applyFont="1" applyAlignment="1">
      <alignment horizontal="center" vertical="center" wrapText="1"/>
    </xf>
    <xf numFmtId="0" fontId="23" fillId="0" borderId="0" xfId="7" applyFont="1" applyAlignment="1">
      <alignment horizontal="center" vertical="center"/>
    </xf>
    <xf numFmtId="0" fontId="17" fillId="2" borderId="1" xfId="7" applyFont="1" applyFill="1" applyBorder="1" applyAlignment="1">
      <alignment horizontal="center" vertical="center"/>
    </xf>
    <xf numFmtId="0" fontId="17" fillId="2" borderId="1" xfId="7" applyFont="1" applyFill="1" applyBorder="1" applyAlignment="1">
      <alignment horizontal="center" vertical="center" wrapText="1"/>
    </xf>
    <xf numFmtId="0" fontId="17" fillId="2" borderId="31" xfId="7" applyFont="1" applyFill="1" applyBorder="1" applyAlignment="1">
      <alignment horizontal="centerContinuous" vertical="center" wrapText="1"/>
    </xf>
    <xf numFmtId="0" fontId="17" fillId="2" borderId="32" xfId="7" applyFont="1" applyFill="1" applyBorder="1" applyAlignment="1">
      <alignment horizontal="centerContinuous" vertical="center" wrapText="1"/>
    </xf>
    <xf numFmtId="0" fontId="17" fillId="2" borderId="33" xfId="7" applyFont="1" applyFill="1" applyBorder="1" applyAlignment="1">
      <alignment horizontal="centerContinuous" vertical="center" wrapText="1"/>
    </xf>
    <xf numFmtId="0" fontId="17" fillId="2" borderId="3" xfId="7" applyFont="1" applyFill="1" applyBorder="1" applyAlignment="1">
      <alignment horizontal="center" vertical="center"/>
    </xf>
    <xf numFmtId="0" fontId="17" fillId="2" borderId="3" xfId="7" applyFont="1" applyFill="1" applyBorder="1" applyAlignment="1">
      <alignment horizontal="center" vertical="center" wrapText="1"/>
    </xf>
    <xf numFmtId="0" fontId="17" fillId="2" borderId="5" xfId="7" applyFont="1" applyFill="1" applyBorder="1" applyAlignment="1">
      <alignment horizontal="center" vertical="center"/>
    </xf>
    <xf numFmtId="0" fontId="17" fillId="2" borderId="5" xfId="7" applyFont="1" applyFill="1" applyBorder="1" applyAlignment="1">
      <alignment horizontal="center" vertical="center" wrapText="1"/>
    </xf>
    <xf numFmtId="0" fontId="17" fillId="2" borderId="5" xfId="7" applyFont="1" applyFill="1" applyBorder="1" applyAlignment="1">
      <alignment horizontal="center" vertical="top" wrapText="1"/>
    </xf>
    <xf numFmtId="0" fontId="17" fillId="2" borderId="13" xfId="7" applyFont="1" applyFill="1" applyBorder="1" applyAlignment="1">
      <alignment horizontal="center" vertical="center" wrapText="1"/>
    </xf>
    <xf numFmtId="0" fontId="34" fillId="0" borderId="13" xfId="7" applyFont="1" applyBorder="1" applyAlignment="1">
      <alignment horizontal="center" vertical="center"/>
    </xf>
    <xf numFmtId="0" fontId="21" fillId="0" borderId="13" xfId="7" applyFont="1" applyBorder="1" applyAlignment="1">
      <alignment vertical="center"/>
    </xf>
    <xf numFmtId="4" fontId="21" fillId="0" borderId="13" xfId="7" applyNumberFormat="1" applyFont="1" applyBorder="1" applyAlignment="1">
      <alignment vertical="center"/>
    </xf>
    <xf numFmtId="0" fontId="21" fillId="0" borderId="0" xfId="7" applyFont="1"/>
    <xf numFmtId="0" fontId="21" fillId="0" borderId="0" xfId="7" applyFont="1" applyAlignment="1">
      <alignment vertical="center"/>
    </xf>
    <xf numFmtId="0" fontId="21" fillId="0" borderId="34" xfId="7" applyFont="1" applyBorder="1" applyAlignment="1">
      <alignment vertical="center"/>
    </xf>
    <xf numFmtId="4" fontId="21" fillId="0" borderId="5" xfId="7" applyNumberFormat="1" applyFont="1" applyBorder="1" applyAlignment="1">
      <alignment vertical="center"/>
    </xf>
    <xf numFmtId="4" fontId="21" fillId="0" borderId="0" xfId="7" applyNumberFormat="1" applyFont="1"/>
    <xf numFmtId="0" fontId="21" fillId="0" borderId="0" xfId="8" applyFont="1"/>
    <xf numFmtId="0" fontId="21" fillId="0" borderId="0" xfId="8" applyFont="1" applyAlignment="1">
      <alignment horizontal="center"/>
    </xf>
    <xf numFmtId="0" fontId="33" fillId="0" borderId="0" xfId="8" applyFont="1"/>
    <xf numFmtId="0" fontId="23" fillId="0" borderId="0" xfId="8" applyFont="1"/>
    <xf numFmtId="0" fontId="33" fillId="0" borderId="0" xfId="8" applyFont="1" applyAlignment="1">
      <alignment horizontal="left"/>
    </xf>
    <xf numFmtId="0" fontId="17" fillId="0" borderId="0" xfId="8" applyFont="1" applyAlignment="1">
      <alignment horizontal="centerContinuous" vertical="center" wrapText="1"/>
    </xf>
    <xf numFmtId="0" fontId="19" fillId="0" borderId="0" xfId="8" applyFont="1" applyAlignment="1">
      <alignment horizontal="centerContinuous" wrapText="1"/>
    </xf>
    <xf numFmtId="0" fontId="21" fillId="3" borderId="0" xfId="8" applyFont="1" applyFill="1"/>
    <xf numFmtId="0" fontId="21" fillId="3" borderId="0" xfId="8" applyFont="1" applyFill="1" applyAlignment="1">
      <alignment horizontal="center"/>
    </xf>
    <xf numFmtId="0" fontId="6" fillId="3" borderId="0" xfId="8" applyFont="1" applyFill="1" applyAlignment="1">
      <alignment horizontal="right"/>
    </xf>
    <xf numFmtId="0" fontId="17" fillId="3" borderId="13" xfId="8" applyFont="1" applyFill="1" applyBorder="1" applyAlignment="1">
      <alignment horizontal="center" vertical="center"/>
    </xf>
    <xf numFmtId="0" fontId="21" fillId="3" borderId="31" xfId="2" applyFont="1" applyFill="1" applyBorder="1" applyAlignment="1">
      <alignment horizontal="center" vertical="center"/>
    </xf>
    <xf numFmtId="0" fontId="17" fillId="3" borderId="31" xfId="8" applyFont="1" applyFill="1" applyBorder="1" applyAlignment="1">
      <alignment horizontal="centerContinuous" vertical="center"/>
    </xf>
    <xf numFmtId="0" fontId="6" fillId="3" borderId="13" xfId="8" applyFont="1" applyFill="1" applyBorder="1" applyAlignment="1">
      <alignment horizontal="center" vertical="center"/>
    </xf>
    <xf numFmtId="0" fontId="13" fillId="3" borderId="31" xfId="2" applyFont="1" applyFill="1" applyBorder="1" applyAlignment="1">
      <alignment horizontal="center" vertical="top"/>
    </xf>
    <xf numFmtId="0" fontId="6" fillId="3" borderId="31" xfId="8" applyFont="1" applyFill="1" applyBorder="1" applyAlignment="1">
      <alignment horizontal="centerContinuous" vertical="center"/>
    </xf>
    <xf numFmtId="0" fontId="6" fillId="0" borderId="0" xfId="8" applyFont="1"/>
    <xf numFmtId="0" fontId="21" fillId="3" borderId="32" xfId="2" applyFont="1" applyFill="1" applyBorder="1" applyAlignment="1">
      <alignment horizontal="center" vertical="top"/>
    </xf>
    <xf numFmtId="0" fontId="33" fillId="3" borderId="13" xfId="8" applyFont="1" applyFill="1" applyBorder="1" applyAlignment="1">
      <alignment vertical="center"/>
    </xf>
    <xf numFmtId="0" fontId="21" fillId="0" borderId="13" xfId="2" applyFont="1" applyFill="1" applyBorder="1" applyAlignment="1">
      <alignment horizontal="center" vertical="center"/>
    </xf>
    <xf numFmtId="0" fontId="36" fillId="0" borderId="13" xfId="8" applyFont="1" applyBorder="1" applyAlignment="1">
      <alignment horizontal="left" vertical="center" wrapText="1"/>
    </xf>
    <xf numFmtId="4" fontId="33" fillId="0" borderId="13" xfId="8" applyNumberFormat="1" applyFont="1" applyBorder="1"/>
    <xf numFmtId="0" fontId="21" fillId="3" borderId="13" xfId="2" applyFont="1" applyFill="1" applyBorder="1" applyAlignment="1">
      <alignment horizontal="center" vertical="center"/>
    </xf>
    <xf numFmtId="0" fontId="36" fillId="3" borderId="13" xfId="8" applyFont="1" applyFill="1" applyBorder="1" applyAlignment="1">
      <alignment horizontal="left" vertical="center"/>
    </xf>
    <xf numFmtId="4" fontId="33" fillId="3" borderId="13" xfId="8" applyNumberFormat="1" applyFont="1" applyFill="1" applyBorder="1"/>
    <xf numFmtId="0" fontId="37" fillId="0" borderId="0" xfId="8" applyFont="1"/>
    <xf numFmtId="0" fontId="33" fillId="3" borderId="13" xfId="8" applyFont="1" applyFill="1" applyBorder="1" applyAlignment="1">
      <alignment vertical="top"/>
    </xf>
    <xf numFmtId="0" fontId="21" fillId="3" borderId="13" xfId="2" applyFont="1" applyFill="1" applyBorder="1" applyAlignment="1">
      <alignment horizontal="center" vertical="top"/>
    </xf>
    <xf numFmtId="0" fontId="33" fillId="3" borderId="31" xfId="8" applyFont="1" applyFill="1" applyBorder="1" applyAlignment="1">
      <alignment vertical="top" wrapText="1"/>
    </xf>
    <xf numFmtId="4" fontId="33" fillId="3" borderId="13" xfId="8" applyNumberFormat="1" applyFont="1" applyFill="1" applyBorder="1" applyAlignment="1">
      <alignment vertical="center"/>
    </xf>
    <xf numFmtId="4" fontId="21" fillId="0" borderId="0" xfId="8" applyNumberFormat="1" applyFont="1"/>
    <xf numFmtId="0" fontId="21" fillId="3" borderId="13" xfId="2" applyFont="1" applyFill="1" applyBorder="1" applyAlignment="1">
      <alignment horizontal="center" vertical="top" wrapText="1"/>
    </xf>
    <xf numFmtId="0" fontId="33" fillId="3" borderId="31" xfId="9" applyFont="1" applyFill="1" applyBorder="1" applyAlignment="1">
      <alignment vertical="top" wrapText="1"/>
    </xf>
    <xf numFmtId="0" fontId="33" fillId="0" borderId="13" xfId="9" applyFont="1" applyBorder="1"/>
    <xf numFmtId="0" fontId="33" fillId="0" borderId="13" xfId="9" applyFont="1" applyBorder="1" applyAlignment="1">
      <alignment vertical="center"/>
    </xf>
    <xf numFmtId="0" fontId="21" fillId="0" borderId="5" xfId="2" applyFont="1" applyFill="1" applyBorder="1" applyAlignment="1">
      <alignment horizontal="center" vertical="top" wrapText="1"/>
    </xf>
    <xf numFmtId="0" fontId="33" fillId="0" borderId="31" xfId="9" applyFont="1" applyBorder="1" applyAlignment="1">
      <alignment vertical="center"/>
    </xf>
    <xf numFmtId="4" fontId="33" fillId="0" borderId="13" xfId="9" applyNumberFormat="1" applyFont="1" applyBorder="1"/>
    <xf numFmtId="0" fontId="33" fillId="0" borderId="2" xfId="9" applyFont="1" applyBorder="1"/>
    <xf numFmtId="0" fontId="33" fillId="0" borderId="36" xfId="9" applyFont="1" applyBorder="1"/>
    <xf numFmtId="0" fontId="33" fillId="0" borderId="36" xfId="9" applyFont="1" applyBorder="1" applyAlignment="1">
      <alignment vertical="center"/>
    </xf>
    <xf numFmtId="0" fontId="21" fillId="0" borderId="1" xfId="2" applyFont="1" applyFill="1" applyBorder="1" applyAlignment="1">
      <alignment horizontal="center" vertical="top" wrapText="1"/>
    </xf>
    <xf numFmtId="0" fontId="33" fillId="0" borderId="18" xfId="9" applyFont="1" applyBorder="1" applyAlignment="1">
      <alignment horizontal="left" vertical="center" wrapText="1"/>
    </xf>
    <xf numFmtId="4" fontId="33" fillId="0" borderId="17" xfId="9" applyNumberFormat="1" applyFont="1" applyBorder="1"/>
    <xf numFmtId="0" fontId="33" fillId="0" borderId="4" xfId="9" applyFont="1" applyBorder="1"/>
    <xf numFmtId="0" fontId="33" fillId="0" borderId="0" xfId="9" applyFont="1"/>
    <xf numFmtId="0" fontId="33" fillId="0" borderId="0" xfId="9" applyFont="1" applyAlignment="1">
      <alignment vertical="center"/>
    </xf>
    <xf numFmtId="0" fontId="21" fillId="0" borderId="3" xfId="2" applyFont="1" applyFill="1" applyBorder="1" applyAlignment="1">
      <alignment horizontal="center" vertical="top" wrapText="1"/>
    </xf>
    <xf numFmtId="0" fontId="33" fillId="0" borderId="37" xfId="9" applyFont="1" applyBorder="1" applyAlignment="1">
      <alignment horizontal="left" vertical="center" wrapText="1"/>
    </xf>
    <xf numFmtId="4" fontId="33" fillId="0" borderId="38" xfId="9" applyNumberFormat="1" applyFont="1" applyBorder="1"/>
    <xf numFmtId="0" fontId="33" fillId="3" borderId="11" xfId="8" applyFont="1" applyFill="1" applyBorder="1" applyAlignment="1">
      <alignment horizontal="left" vertical="center" wrapText="1"/>
    </xf>
    <xf numFmtId="0" fontId="33" fillId="0" borderId="35" xfId="9" applyFont="1" applyBorder="1"/>
    <xf numFmtId="0" fontId="21" fillId="3" borderId="5" xfId="2" applyFont="1" applyFill="1" applyBorder="1" applyAlignment="1">
      <alignment horizontal="center" vertical="top"/>
    </xf>
    <xf numFmtId="4" fontId="33" fillId="0" borderId="12" xfId="9" applyNumberFormat="1" applyFont="1" applyBorder="1"/>
    <xf numFmtId="0" fontId="21" fillId="3" borderId="5" xfId="2" applyFont="1" applyFill="1" applyBorder="1" applyAlignment="1">
      <alignment horizontal="center" vertical="top" wrapText="1"/>
    </xf>
    <xf numFmtId="0" fontId="21" fillId="3" borderId="1" xfId="2" applyFont="1" applyFill="1" applyBorder="1" applyAlignment="1">
      <alignment horizontal="center" vertical="top"/>
    </xf>
    <xf numFmtId="0" fontId="33" fillId="0" borderId="37" xfId="9" applyFont="1" applyBorder="1" applyAlignment="1">
      <alignment vertical="center" wrapText="1"/>
    </xf>
    <xf numFmtId="0" fontId="21" fillId="3" borderId="3" xfId="2" applyFont="1" applyFill="1" applyBorder="1" applyAlignment="1">
      <alignment horizontal="center" vertical="top"/>
    </xf>
    <xf numFmtId="0" fontId="33" fillId="0" borderId="39" xfId="9" applyFont="1" applyBorder="1" applyAlignment="1">
      <alignment vertical="center" wrapText="1"/>
    </xf>
    <xf numFmtId="0" fontId="33" fillId="0" borderId="38" xfId="8" applyFont="1" applyBorder="1" applyAlignment="1">
      <alignment vertical="center" wrapText="1"/>
    </xf>
    <xf numFmtId="0" fontId="33" fillId="0" borderId="38" xfId="9" applyFont="1" applyBorder="1"/>
    <xf numFmtId="0" fontId="33" fillId="0" borderId="11" xfId="9" applyFont="1" applyBorder="1" applyAlignment="1">
      <alignment wrapText="1"/>
    </xf>
    <xf numFmtId="0" fontId="33" fillId="0" borderId="11" xfId="9" applyFont="1" applyBorder="1"/>
    <xf numFmtId="0" fontId="33" fillId="0" borderId="37" xfId="9" applyFont="1" applyBorder="1"/>
    <xf numFmtId="0" fontId="33" fillId="0" borderId="6" xfId="9" applyFont="1" applyBorder="1"/>
    <xf numFmtId="4" fontId="33" fillId="0" borderId="5" xfId="9" applyNumberFormat="1" applyFont="1" applyBorder="1"/>
    <xf numFmtId="0" fontId="21" fillId="3" borderId="5" xfId="2" applyFont="1" applyFill="1" applyBorder="1" applyAlignment="1">
      <alignment horizontal="center" vertical="center"/>
    </xf>
    <xf numFmtId="0" fontId="33" fillId="0" borderId="31" xfId="9" applyFont="1" applyBorder="1"/>
    <xf numFmtId="0" fontId="33" fillId="0" borderId="32" xfId="9" applyFont="1" applyBorder="1"/>
    <xf numFmtId="0" fontId="33" fillId="0" borderId="32" xfId="9" applyFont="1" applyBorder="1" applyAlignment="1">
      <alignment vertical="center"/>
    </xf>
    <xf numFmtId="0" fontId="33" fillId="0" borderId="31" xfId="9" applyFont="1" applyBorder="1" applyAlignment="1">
      <alignment horizontal="left" vertical="center" wrapText="1"/>
    </xf>
    <xf numFmtId="0" fontId="21" fillId="3" borderId="1" xfId="2" applyFont="1" applyFill="1" applyBorder="1" applyAlignment="1">
      <alignment horizontal="center" vertical="top" wrapText="1"/>
    </xf>
    <xf numFmtId="0" fontId="33" fillId="0" borderId="18" xfId="9" applyFont="1" applyBorder="1" applyAlignment="1">
      <alignment vertical="center"/>
    </xf>
    <xf numFmtId="0" fontId="21" fillId="3" borderId="3" xfId="2" applyFont="1" applyFill="1" applyBorder="1" applyAlignment="1">
      <alignment horizontal="center" vertical="top" wrapText="1"/>
    </xf>
    <xf numFmtId="0" fontId="33" fillId="0" borderId="37" xfId="9" applyFont="1" applyBorder="1" applyAlignment="1">
      <alignment vertical="center"/>
    </xf>
    <xf numFmtId="0" fontId="33" fillId="0" borderId="35" xfId="9" applyFont="1" applyBorder="1" applyAlignment="1">
      <alignment vertical="center"/>
    </xf>
    <xf numFmtId="0" fontId="33" fillId="0" borderId="6" xfId="9" applyFont="1" applyBorder="1" applyAlignment="1">
      <alignment vertical="center"/>
    </xf>
    <xf numFmtId="0" fontId="33" fillId="3" borderId="11" xfId="8" applyFont="1" applyFill="1" applyBorder="1" applyAlignment="1">
      <alignment horizontal="left" wrapText="1"/>
    </xf>
    <xf numFmtId="0" fontId="33" fillId="3" borderId="4" xfId="8" applyFont="1" applyFill="1" applyBorder="1" applyAlignment="1">
      <alignment horizontal="left" wrapText="1"/>
    </xf>
    <xf numFmtId="0" fontId="33" fillId="0" borderId="11" xfId="9" applyFont="1" applyBorder="1" applyAlignment="1">
      <alignment horizontal="left" vertical="center" wrapText="1"/>
    </xf>
    <xf numFmtId="0" fontId="33" fillId="0" borderId="6" xfId="9" applyFont="1" applyBorder="1" applyAlignment="1">
      <alignment horizontal="left" vertical="center" wrapText="1"/>
    </xf>
    <xf numFmtId="0" fontId="36" fillId="0" borderId="13" xfId="10" applyFont="1" applyBorder="1" applyAlignment="1">
      <alignment vertical="top"/>
    </xf>
    <xf numFmtId="0" fontId="36" fillId="0" borderId="31" xfId="10" applyFont="1" applyBorder="1" applyAlignment="1">
      <alignment vertical="top"/>
    </xf>
    <xf numFmtId="0" fontId="33" fillId="0" borderId="31" xfId="10" applyFont="1" applyBorder="1" applyAlignment="1">
      <alignment vertical="top" wrapText="1"/>
    </xf>
    <xf numFmtId="4" fontId="33" fillId="0" borderId="13" xfId="10" applyNumberFormat="1" applyFont="1" applyBorder="1" applyAlignment="1">
      <alignment vertical="center"/>
    </xf>
    <xf numFmtId="0" fontId="36" fillId="0" borderId="2" xfId="10" applyFont="1" applyBorder="1" applyAlignment="1">
      <alignment vertical="top"/>
    </xf>
    <xf numFmtId="0" fontId="36" fillId="0" borderId="36" xfId="10" applyFont="1" applyBorder="1" applyAlignment="1">
      <alignment vertical="top"/>
    </xf>
    <xf numFmtId="0" fontId="33" fillId="0" borderId="18" xfId="10" applyFont="1" applyBorder="1" applyAlignment="1">
      <alignment vertical="top" wrapText="1"/>
    </xf>
    <xf numFmtId="4" fontId="33" fillId="0" borderId="17" xfId="10" applyNumberFormat="1" applyFont="1" applyBorder="1" applyAlignment="1">
      <alignment vertical="center"/>
    </xf>
    <xf numFmtId="0" fontId="36" fillId="0" borderId="4" xfId="10" applyFont="1" applyBorder="1" applyAlignment="1">
      <alignment vertical="top"/>
    </xf>
    <xf numFmtId="0" fontId="36" fillId="0" borderId="0" xfId="10" applyFont="1" applyAlignment="1">
      <alignment vertical="top"/>
    </xf>
    <xf numFmtId="0" fontId="33" fillId="0" borderId="37" xfId="10" applyFont="1" applyBorder="1" applyAlignment="1">
      <alignment vertical="top" wrapText="1"/>
    </xf>
    <xf numFmtId="4" fontId="33" fillId="0" borderId="38" xfId="10" applyNumberFormat="1" applyFont="1" applyBorder="1" applyAlignment="1">
      <alignment vertical="center"/>
    </xf>
    <xf numFmtId="0" fontId="36" fillId="0" borderId="6" xfId="10" applyFont="1" applyBorder="1" applyAlignment="1">
      <alignment vertical="top"/>
    </xf>
    <xf numFmtId="0" fontId="36" fillId="0" borderId="35" xfId="10" applyFont="1" applyBorder="1" applyAlignment="1">
      <alignment vertical="top"/>
    </xf>
    <xf numFmtId="0" fontId="33" fillId="0" borderId="6" xfId="10" applyFont="1" applyBorder="1" applyAlignment="1">
      <alignment vertical="top" wrapText="1"/>
    </xf>
    <xf numFmtId="4" fontId="33" fillId="0" borderId="5" xfId="10" applyNumberFormat="1" applyFont="1" applyBorder="1" applyAlignment="1">
      <alignment vertical="center"/>
    </xf>
    <xf numFmtId="0" fontId="33" fillId="0" borderId="2" xfId="10" applyFont="1" applyBorder="1" applyAlignment="1">
      <alignment vertical="top"/>
    </xf>
    <xf numFmtId="0" fontId="33" fillId="0" borderId="36" xfId="10" applyFont="1" applyBorder="1" applyAlignment="1">
      <alignment vertical="top"/>
    </xf>
    <xf numFmtId="0" fontId="21" fillId="0" borderId="1" xfId="2" applyFont="1" applyFill="1" applyBorder="1" applyAlignment="1">
      <alignment horizontal="center" vertical="top"/>
    </xf>
    <xf numFmtId="0" fontId="33" fillId="0" borderId="18" xfId="10" applyFont="1" applyBorder="1" applyAlignment="1">
      <alignment vertical="center" wrapText="1"/>
    </xf>
    <xf numFmtId="3" fontId="33" fillId="0" borderId="17" xfId="10" applyNumberFormat="1" applyFont="1" applyBorder="1"/>
    <xf numFmtId="0" fontId="33" fillId="0" borderId="4" xfId="10" applyFont="1" applyBorder="1" applyAlignment="1">
      <alignment vertical="top"/>
    </xf>
    <xf numFmtId="0" fontId="33" fillId="0" borderId="0" xfId="10" applyFont="1" applyAlignment="1">
      <alignment vertical="top"/>
    </xf>
    <xf numFmtId="0" fontId="21" fillId="0" borderId="3" xfId="2" applyFont="1" applyFill="1" applyBorder="1" applyAlignment="1">
      <alignment horizontal="center" vertical="top"/>
    </xf>
    <xf numFmtId="0" fontId="33" fillId="0" borderId="37" xfId="10" applyFont="1" applyBorder="1" applyAlignment="1">
      <alignment vertical="center" wrapText="1"/>
    </xf>
    <xf numFmtId="3" fontId="33" fillId="0" borderId="38" xfId="10" applyNumberFormat="1" applyFont="1" applyBorder="1"/>
    <xf numFmtId="0" fontId="33" fillId="0" borderId="39" xfId="10" applyFont="1" applyBorder="1" applyAlignment="1">
      <alignment vertical="center" wrapText="1"/>
    </xf>
    <xf numFmtId="3" fontId="33" fillId="0" borderId="19" xfId="10" applyNumberFormat="1" applyFont="1" applyBorder="1"/>
    <xf numFmtId="0" fontId="33" fillId="0" borderId="6" xfId="10" applyFont="1" applyBorder="1" applyAlignment="1">
      <alignment vertical="top"/>
    </xf>
    <xf numFmtId="0" fontId="33" fillId="0" borderId="35" xfId="10" applyFont="1" applyBorder="1" applyAlignment="1">
      <alignment vertical="top"/>
    </xf>
    <xf numFmtId="0" fontId="21" fillId="0" borderId="5" xfId="2" applyFont="1" applyFill="1" applyBorder="1" applyAlignment="1">
      <alignment horizontal="center" vertical="top"/>
    </xf>
    <xf numFmtId="0" fontId="33" fillId="0" borderId="40" xfId="10" applyFont="1" applyBorder="1" applyAlignment="1">
      <alignment vertical="center" wrapText="1"/>
    </xf>
    <xf numFmtId="3" fontId="33" fillId="0" borderId="15" xfId="10" applyNumberFormat="1" applyFont="1" applyBorder="1"/>
    <xf numFmtId="0" fontId="33" fillId="3" borderId="5" xfId="8" applyFont="1" applyFill="1" applyBorder="1" applyAlignment="1">
      <alignment vertical="top"/>
    </xf>
    <xf numFmtId="0" fontId="33" fillId="3" borderId="6" xfId="8" applyFont="1" applyFill="1" applyBorder="1" applyAlignment="1">
      <alignment vertical="top"/>
    </xf>
    <xf numFmtId="0" fontId="33" fillId="3" borderId="6" xfId="8" applyFont="1" applyFill="1" applyBorder="1" applyAlignment="1">
      <alignment vertical="center" wrapText="1"/>
    </xf>
    <xf numFmtId="0" fontId="33" fillId="3" borderId="31" xfId="8" applyFont="1" applyFill="1" applyBorder="1" applyAlignment="1">
      <alignment vertical="top"/>
    </xf>
    <xf numFmtId="4" fontId="33" fillId="3" borderId="5" xfId="8" applyNumberFormat="1" applyFont="1" applyFill="1" applyBorder="1"/>
    <xf numFmtId="0" fontId="33" fillId="3" borderId="32" xfId="8" applyFont="1" applyFill="1" applyBorder="1" applyAlignment="1">
      <alignment vertical="top"/>
    </xf>
    <xf numFmtId="0" fontId="33" fillId="3" borderId="1" xfId="8" applyFont="1" applyFill="1" applyBorder="1" applyAlignment="1">
      <alignment vertical="top"/>
    </xf>
    <xf numFmtId="0" fontId="33" fillId="3" borderId="1" xfId="8" applyFont="1" applyFill="1" applyBorder="1" applyAlignment="1">
      <alignment horizontal="right" vertical="top"/>
    </xf>
    <xf numFmtId="0" fontId="33" fillId="3" borderId="36" xfId="8" applyFont="1" applyFill="1" applyBorder="1" applyAlignment="1">
      <alignment horizontal="right" vertical="top"/>
    </xf>
    <xf numFmtId="0" fontId="33" fillId="3" borderId="31" xfId="8" applyFont="1" applyFill="1" applyBorder="1" applyAlignment="1">
      <alignment wrapText="1"/>
    </xf>
    <xf numFmtId="49" fontId="33" fillId="3" borderId="1" xfId="8" applyNumberFormat="1" applyFont="1" applyFill="1" applyBorder="1" applyAlignment="1">
      <alignment horizontal="right"/>
    </xf>
    <xf numFmtId="4" fontId="1" fillId="3" borderId="13" xfId="8" applyNumberFormat="1" applyFont="1" applyFill="1" applyBorder="1" applyAlignment="1">
      <alignment vertical="center"/>
    </xf>
    <xf numFmtId="0" fontId="33" fillId="3" borderId="13" xfId="8" applyFont="1" applyFill="1" applyBorder="1"/>
    <xf numFmtId="0" fontId="21" fillId="3" borderId="13" xfId="2" applyFont="1" applyFill="1" applyBorder="1" applyAlignment="1">
      <alignment horizontal="center"/>
    </xf>
    <xf numFmtId="49" fontId="33" fillId="3" borderId="13" xfId="8" quotePrefix="1" applyNumberFormat="1" applyFont="1" applyFill="1" applyBorder="1" applyAlignment="1">
      <alignment horizontal="right" vertical="top"/>
    </xf>
    <xf numFmtId="0" fontId="33" fillId="3" borderId="31" xfId="8" quotePrefix="1" applyFont="1" applyFill="1" applyBorder="1" applyAlignment="1">
      <alignment vertical="top" wrapText="1"/>
    </xf>
    <xf numFmtId="4" fontId="1" fillId="3" borderId="13" xfId="8" applyNumberFormat="1" applyFont="1" applyFill="1" applyBorder="1" applyAlignment="1">
      <alignment horizontal="right" vertical="center"/>
    </xf>
    <xf numFmtId="0" fontId="33" fillId="3" borderId="31" xfId="8" applyFont="1" applyFill="1" applyBorder="1"/>
    <xf numFmtId="4" fontId="33" fillId="3" borderId="13" xfId="8" applyNumberFormat="1" applyFont="1" applyFill="1" applyBorder="1" applyAlignment="1">
      <alignment horizontal="right" vertical="center"/>
    </xf>
    <xf numFmtId="0" fontId="33" fillId="3" borderId="31" xfId="8" applyFont="1" applyFill="1" applyBorder="1" applyAlignment="1">
      <alignment vertical="center" wrapText="1"/>
    </xf>
    <xf numFmtId="0" fontId="33" fillId="3" borderId="31" xfId="9" applyFont="1" applyFill="1" applyBorder="1" applyAlignment="1">
      <alignment vertical="center" wrapText="1"/>
    </xf>
    <xf numFmtId="0" fontId="17" fillId="3" borderId="32" xfId="8" applyFont="1" applyFill="1" applyBorder="1" applyAlignment="1">
      <alignment horizontal="centerContinuous" vertical="center"/>
    </xf>
    <xf numFmtId="0" fontId="21" fillId="3" borderId="13" xfId="2" applyFont="1" applyFill="1" applyBorder="1" applyAlignment="1">
      <alignment horizontal="center" vertical="center" wrapText="1"/>
    </xf>
    <xf numFmtId="0" fontId="33" fillId="3" borderId="2" xfId="8" applyFont="1" applyFill="1" applyBorder="1"/>
    <xf numFmtId="0" fontId="33" fillId="3" borderId="36" xfId="8" applyFont="1" applyFill="1" applyBorder="1"/>
    <xf numFmtId="0" fontId="33" fillId="3" borderId="41" xfId="8" applyFont="1" applyFill="1" applyBorder="1"/>
    <xf numFmtId="0" fontId="33" fillId="3" borderId="42" xfId="8" applyFont="1" applyFill="1" applyBorder="1" applyAlignment="1">
      <alignment vertical="center" wrapText="1"/>
    </xf>
    <xf numFmtId="4" fontId="33" fillId="3" borderId="17" xfId="8" applyNumberFormat="1" applyFont="1" applyFill="1" applyBorder="1"/>
    <xf numFmtId="0" fontId="33" fillId="3" borderId="4" xfId="8" applyFont="1" applyFill="1" applyBorder="1"/>
    <xf numFmtId="0" fontId="33" fillId="3" borderId="0" xfId="8" applyFont="1" applyFill="1"/>
    <xf numFmtId="0" fontId="33" fillId="3" borderId="43" xfId="8" applyFont="1" applyFill="1" applyBorder="1"/>
    <xf numFmtId="0" fontId="33" fillId="3" borderId="44" xfId="8" applyFont="1" applyFill="1" applyBorder="1" applyAlignment="1">
      <alignment horizontal="left" wrapText="1"/>
    </xf>
    <xf numFmtId="4" fontId="33" fillId="3" borderId="38" xfId="8" applyNumberFormat="1" applyFont="1" applyFill="1" applyBorder="1"/>
    <xf numFmtId="0" fontId="38" fillId="0" borderId="0" xfId="8" applyFont="1"/>
    <xf numFmtId="0" fontId="33" fillId="3" borderId="6" xfId="8" applyFont="1" applyFill="1" applyBorder="1"/>
    <xf numFmtId="0" fontId="33" fillId="3" borderId="35" xfId="8" applyFont="1" applyFill="1" applyBorder="1"/>
    <xf numFmtId="0" fontId="33" fillId="3" borderId="34" xfId="8" applyFont="1" applyFill="1" applyBorder="1"/>
    <xf numFmtId="0" fontId="33" fillId="3" borderId="45" xfId="8" applyFont="1" applyFill="1" applyBorder="1" applyAlignment="1">
      <alignment horizontal="left" vertical="center" wrapText="1"/>
    </xf>
    <xf numFmtId="4" fontId="33" fillId="3" borderId="15" xfId="8" applyNumberFormat="1" applyFont="1" applyFill="1" applyBorder="1"/>
    <xf numFmtId="0" fontId="33" fillId="3" borderId="46" xfId="8" applyFont="1" applyFill="1" applyBorder="1" applyAlignment="1">
      <alignment horizontal="left" vertical="center" wrapText="1"/>
    </xf>
    <xf numFmtId="4" fontId="33" fillId="3" borderId="12" xfId="8" applyNumberFormat="1" applyFont="1" applyFill="1" applyBorder="1"/>
    <xf numFmtId="0" fontId="33" fillId="3" borderId="44" xfId="8" applyFont="1" applyFill="1" applyBorder="1"/>
    <xf numFmtId="0" fontId="33" fillId="3" borderId="35" xfId="8" applyFont="1" applyFill="1" applyBorder="1" applyAlignment="1">
      <alignment horizontal="left" wrapText="1"/>
    </xf>
    <xf numFmtId="0" fontId="33" fillId="3" borderId="32" xfId="8" applyFont="1" applyFill="1" applyBorder="1"/>
    <xf numFmtId="0" fontId="33" fillId="3" borderId="42" xfId="8" applyFont="1" applyFill="1" applyBorder="1" applyAlignment="1">
      <alignment horizontal="left" vertical="center" wrapText="1"/>
    </xf>
    <xf numFmtId="0" fontId="33" fillId="3" borderId="44" xfId="8" applyFont="1" applyFill="1" applyBorder="1" applyAlignment="1">
      <alignment vertical="center" wrapText="1"/>
    </xf>
    <xf numFmtId="0" fontId="33" fillId="3" borderId="37" xfId="8" applyFont="1" applyFill="1" applyBorder="1" applyAlignment="1">
      <alignment vertical="center" wrapText="1"/>
    </xf>
    <xf numFmtId="0" fontId="21" fillId="3" borderId="3" xfId="2" quotePrefix="1" applyFont="1" applyFill="1" applyBorder="1" applyAlignment="1">
      <alignment horizontal="center" vertical="top"/>
    </xf>
    <xf numFmtId="0" fontId="33" fillId="0" borderId="46" xfId="9" applyFont="1" applyBorder="1" applyAlignment="1">
      <alignment horizontal="left" vertical="center" wrapText="1"/>
    </xf>
    <xf numFmtId="0" fontId="33" fillId="3" borderId="44" xfId="8" applyFont="1" applyFill="1" applyBorder="1" applyAlignment="1">
      <alignment horizontal="left" vertical="center" wrapText="1"/>
    </xf>
    <xf numFmtId="0" fontId="33" fillId="3" borderId="37" xfId="8" applyFont="1" applyFill="1" applyBorder="1"/>
    <xf numFmtId="0" fontId="33" fillId="3" borderId="46" xfId="8" applyFont="1" applyFill="1" applyBorder="1"/>
    <xf numFmtId="0" fontId="33" fillId="3" borderId="35" xfId="8" applyFont="1" applyFill="1" applyBorder="1" applyAlignment="1">
      <alignment vertical="center" wrapText="1"/>
    </xf>
    <xf numFmtId="0" fontId="33" fillId="3" borderId="32" xfId="8" applyFont="1" applyFill="1" applyBorder="1" applyAlignment="1">
      <alignment vertical="top" wrapText="1"/>
    </xf>
    <xf numFmtId="0" fontId="33" fillId="3" borderId="47" xfId="8" applyFont="1" applyFill="1" applyBorder="1" applyAlignment="1">
      <alignment vertical="center" wrapText="1"/>
    </xf>
    <xf numFmtId="4" fontId="33" fillId="3" borderId="14" xfId="8" applyNumberFormat="1" applyFont="1" applyFill="1" applyBorder="1"/>
    <xf numFmtId="0" fontId="33" fillId="3" borderId="33" xfId="8" applyFont="1" applyFill="1" applyBorder="1"/>
    <xf numFmtId="0" fontId="33" fillId="3" borderId="32" xfId="8" applyFont="1" applyFill="1" applyBorder="1" applyAlignment="1">
      <alignment horizontal="left" vertical="center" wrapText="1"/>
    </xf>
    <xf numFmtId="0" fontId="36" fillId="3" borderId="42" xfId="8" applyFont="1" applyFill="1" applyBorder="1"/>
    <xf numFmtId="0" fontId="33" fillId="3" borderId="46" xfId="8" applyFont="1" applyFill="1" applyBorder="1" applyAlignment="1">
      <alignment horizontal="left" wrapText="1"/>
    </xf>
    <xf numFmtId="0" fontId="36" fillId="3" borderId="44" xfId="8" applyFont="1" applyFill="1" applyBorder="1"/>
    <xf numFmtId="0" fontId="36" fillId="3" borderId="46" xfId="8" applyFont="1" applyFill="1" applyBorder="1"/>
    <xf numFmtId="0" fontId="33" fillId="3" borderId="32" xfId="8" applyFont="1" applyFill="1" applyBorder="1" applyAlignment="1">
      <alignment horizontal="left" wrapText="1"/>
    </xf>
    <xf numFmtId="0" fontId="33" fillId="3" borderId="46" xfId="8" applyFont="1" applyFill="1" applyBorder="1" applyAlignment="1">
      <alignment horizontal="left" vertical="top" wrapText="1"/>
    </xf>
    <xf numFmtId="0" fontId="33" fillId="3" borderId="44" xfId="8" applyFont="1" applyFill="1" applyBorder="1" applyAlignment="1">
      <alignment wrapText="1"/>
    </xf>
    <xf numFmtId="0" fontId="21" fillId="3" borderId="1" xfId="2" quotePrefix="1" applyFont="1" applyFill="1" applyBorder="1" applyAlignment="1">
      <alignment horizontal="center" vertical="top"/>
    </xf>
    <xf numFmtId="0" fontId="33" fillId="0" borderId="42" xfId="9" applyFont="1" applyBorder="1" applyAlignment="1">
      <alignment horizontal="left" vertical="center" wrapText="1"/>
    </xf>
    <xf numFmtId="0" fontId="33" fillId="3" borderId="46" xfId="8" applyFont="1" applyFill="1" applyBorder="1" applyAlignment="1">
      <alignment vertical="center" wrapText="1"/>
    </xf>
    <xf numFmtId="0" fontId="23" fillId="3" borderId="3" xfId="2" quotePrefix="1" applyFont="1" applyFill="1" applyBorder="1" applyAlignment="1">
      <alignment horizontal="center" vertical="top"/>
    </xf>
    <xf numFmtId="0" fontId="33" fillId="3" borderId="35" xfId="8" applyFont="1" applyFill="1" applyBorder="1" applyAlignment="1">
      <alignment horizontal="left" vertical="center" wrapText="1"/>
    </xf>
    <xf numFmtId="0" fontId="23" fillId="3" borderId="3" xfId="2" applyFont="1" applyFill="1" applyBorder="1" applyAlignment="1">
      <alignment horizontal="center" vertical="top"/>
    </xf>
    <xf numFmtId="0" fontId="33" fillId="3" borderId="37" xfId="8" applyFont="1" applyFill="1" applyBorder="1" applyAlignment="1">
      <alignment horizontal="left" vertical="center" wrapText="1"/>
    </xf>
    <xf numFmtId="0" fontId="21" fillId="3" borderId="5" xfId="2" quotePrefix="1" applyFont="1" applyFill="1" applyBorder="1" applyAlignment="1">
      <alignment horizontal="center" vertical="top"/>
    </xf>
    <xf numFmtId="0" fontId="33" fillId="3" borderId="48" xfId="8" applyFont="1" applyFill="1" applyBorder="1" applyAlignment="1">
      <alignment horizontal="left" wrapText="1"/>
    </xf>
    <xf numFmtId="0" fontId="33" fillId="3" borderId="49" xfId="8" applyFont="1" applyFill="1" applyBorder="1" applyAlignment="1">
      <alignment horizontal="left" vertical="center" wrapText="1"/>
    </xf>
    <xf numFmtId="0" fontId="33" fillId="3" borderId="5" xfId="8" applyFont="1" applyFill="1" applyBorder="1"/>
    <xf numFmtId="0" fontId="33" fillId="3" borderId="13" xfId="9" applyFont="1" applyFill="1" applyBorder="1"/>
    <xf numFmtId="0" fontId="33" fillId="3" borderId="32" xfId="9" applyFont="1" applyFill="1" applyBorder="1"/>
    <xf numFmtId="0" fontId="33" fillId="3" borderId="49" xfId="8" applyFont="1" applyFill="1" applyBorder="1" applyAlignment="1">
      <alignment vertical="center" wrapText="1"/>
    </xf>
    <xf numFmtId="0" fontId="33" fillId="3" borderId="32" xfId="8" applyFont="1" applyFill="1" applyBorder="1" applyAlignment="1">
      <alignment horizontal="left" vertical="top" wrapText="1"/>
    </xf>
    <xf numFmtId="0" fontId="33" fillId="3" borderId="42" xfId="8" applyFont="1" applyFill="1" applyBorder="1" applyAlignment="1">
      <alignment vertical="top" wrapText="1"/>
    </xf>
    <xf numFmtId="0" fontId="33" fillId="3" borderId="35" xfId="8" applyFont="1" applyFill="1" applyBorder="1" applyAlignment="1">
      <alignment vertical="top" wrapText="1"/>
    </xf>
    <xf numFmtId="0" fontId="17" fillId="3" borderId="31" xfId="8" applyFont="1" applyFill="1" applyBorder="1" applyAlignment="1">
      <alignment horizontal="center" vertical="center"/>
    </xf>
    <xf numFmtId="0" fontId="17" fillId="3" borderId="32" xfId="8" applyFont="1" applyFill="1" applyBorder="1" applyAlignment="1">
      <alignment horizontal="center" vertical="center"/>
    </xf>
    <xf numFmtId="4" fontId="39" fillId="3" borderId="13" xfId="8" applyNumberFormat="1" applyFont="1" applyFill="1" applyBorder="1" applyAlignment="1">
      <alignment vertical="center"/>
    </xf>
    <xf numFmtId="3" fontId="21" fillId="0" borderId="0" xfId="8" applyNumberFormat="1" applyFont="1"/>
    <xf numFmtId="0" fontId="16" fillId="0" borderId="0" xfId="0" applyFont="1" applyAlignment="1">
      <alignment vertical="center"/>
    </xf>
    <xf numFmtId="0" fontId="40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7" fillId="2" borderId="13" xfId="0" applyFont="1" applyFill="1" applyBorder="1" applyAlignment="1">
      <alignment horizontal="center" vertical="center"/>
    </xf>
    <xf numFmtId="0" fontId="17" fillId="2" borderId="13" xfId="0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0" xfId="0" applyFont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21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vertical="center"/>
    </xf>
    <xf numFmtId="49" fontId="21" fillId="0" borderId="3" xfId="0" applyNumberFormat="1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vertical="center"/>
    </xf>
    <xf numFmtId="4" fontId="21" fillId="0" borderId="5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41" fillId="0" borderId="0" xfId="0" applyFont="1" applyAlignment="1">
      <alignment wrapText="1"/>
    </xf>
    <xf numFmtId="49" fontId="21" fillId="0" borderId="13" xfId="0" applyNumberFormat="1" applyFont="1" applyBorder="1" applyAlignment="1">
      <alignment horizontal="center" vertical="center"/>
    </xf>
    <xf numFmtId="4" fontId="21" fillId="0" borderId="13" xfId="0" applyNumberFormat="1" applyFont="1" applyBorder="1" applyAlignment="1">
      <alignment horizontal="center" vertical="center"/>
    </xf>
    <xf numFmtId="4" fontId="19" fillId="0" borderId="13" xfId="0" applyNumberFormat="1" applyFont="1" applyBorder="1" applyAlignment="1">
      <alignment vertical="center"/>
    </xf>
    <xf numFmtId="0" fontId="41" fillId="0" borderId="0" xfId="0" applyFont="1"/>
    <xf numFmtId="4" fontId="21" fillId="0" borderId="3" xfId="0" applyNumberFormat="1" applyFont="1" applyBorder="1" applyAlignment="1">
      <alignment horizontal="center" vertical="center"/>
    </xf>
    <xf numFmtId="4" fontId="21" fillId="0" borderId="3" xfId="0" applyNumberFormat="1" applyFont="1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0" fontId="21" fillId="0" borderId="5" xfId="0" applyFont="1" applyBorder="1" applyAlignment="1">
      <alignment vertical="center"/>
    </xf>
    <xf numFmtId="49" fontId="21" fillId="0" borderId="34" xfId="0" applyNumberFormat="1" applyFont="1" applyBorder="1" applyAlignment="1">
      <alignment horizontal="center" vertical="center"/>
    </xf>
    <xf numFmtId="4" fontId="21" fillId="0" borderId="5" xfId="0" applyNumberFormat="1" applyFont="1" applyBorder="1" applyAlignment="1">
      <alignment vertical="center"/>
    </xf>
    <xf numFmtId="0" fontId="41" fillId="0" borderId="0" xfId="0" applyFont="1" applyAlignment="1">
      <alignment vertical="center" wrapText="1"/>
    </xf>
    <xf numFmtId="49" fontId="21" fillId="0" borderId="43" xfId="0" applyNumberFormat="1" applyFont="1" applyBorder="1" applyAlignment="1">
      <alignment horizontal="center" vertical="center"/>
    </xf>
    <xf numFmtId="4" fontId="42" fillId="0" borderId="0" xfId="0" applyNumberFormat="1" applyFont="1"/>
    <xf numFmtId="4" fontId="43" fillId="0" borderId="0" xfId="0" applyNumberFormat="1" applyFont="1"/>
    <xf numFmtId="4" fontId="0" fillId="0" borderId="0" xfId="0" applyNumberFormat="1"/>
    <xf numFmtId="0" fontId="0" fillId="0" borderId="0" xfId="0" applyAlignment="1">
      <alignment horizontal="centerContinuous"/>
    </xf>
    <xf numFmtId="0" fontId="2" fillId="0" borderId="11" xfId="0" applyFont="1" applyBorder="1" applyAlignment="1">
      <alignment vertical="center"/>
    </xf>
    <xf numFmtId="4" fontId="2" fillId="0" borderId="12" xfId="0" applyNumberFormat="1" applyFont="1" applyBorder="1"/>
    <xf numFmtId="4" fontId="2" fillId="0" borderId="12" xfId="0" applyNumberFormat="1" applyFont="1" applyBorder="1" applyAlignment="1">
      <alignment horizontal="right"/>
    </xf>
    <xf numFmtId="0" fontId="2" fillId="0" borderId="11" xfId="0" applyFont="1" applyBorder="1"/>
    <xf numFmtId="4" fontId="1" fillId="0" borderId="12" xfId="0" applyNumberFormat="1" applyFont="1" applyBorder="1"/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1" fillId="0" borderId="11" xfId="0" applyFont="1" applyBorder="1"/>
    <xf numFmtId="0" fontId="2" fillId="0" borderId="12" xfId="0" applyFont="1" applyBorder="1"/>
    <xf numFmtId="0" fontId="2" fillId="0" borderId="17" xfId="0" applyFont="1" applyBorder="1" applyAlignment="1">
      <alignment horizontal="left"/>
    </xf>
    <xf numFmtId="0" fontId="2" fillId="0" borderId="18" xfId="0" applyFont="1" applyBorder="1"/>
    <xf numFmtId="0" fontId="2" fillId="0" borderId="12" xfId="3" applyFont="1" applyBorder="1"/>
    <xf numFmtId="4" fontId="2" fillId="0" borderId="12" xfId="1" applyNumberFormat="1" applyFont="1" applyBorder="1" applyAlignment="1">
      <alignment horizontal="right"/>
    </xf>
    <xf numFmtId="4" fontId="1" fillId="0" borderId="12" xfId="0" applyNumberFormat="1" applyFont="1" applyBorder="1" applyAlignment="1">
      <alignment horizontal="right"/>
    </xf>
    <xf numFmtId="0" fontId="11" fillId="0" borderId="11" xfId="1" applyFont="1" applyBorder="1" applyAlignment="1">
      <alignment wrapText="1"/>
    </xf>
    <xf numFmtId="0" fontId="2" fillId="0" borderId="17" xfId="0" applyFont="1" applyBorder="1"/>
    <xf numFmtId="4" fontId="2" fillId="0" borderId="17" xfId="0" applyNumberFormat="1" applyFont="1" applyBorder="1"/>
    <xf numFmtId="4" fontId="2" fillId="0" borderId="17" xfId="0" applyNumberFormat="1" applyFont="1" applyBorder="1" applyAlignment="1">
      <alignment horizontal="right"/>
    </xf>
    <xf numFmtId="0" fontId="23" fillId="0" borderId="11" xfId="0" applyFont="1" applyBorder="1" applyAlignment="1">
      <alignment wrapText="1"/>
    </xf>
    <xf numFmtId="0" fontId="1" fillId="0" borderId="11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1" fillId="0" borderId="11" xfId="0" applyFont="1" applyBorder="1" applyAlignment="1">
      <alignment vertical="center" wrapText="1"/>
    </xf>
    <xf numFmtId="0" fontId="1" fillId="0" borderId="12" xfId="1" applyFont="1" applyBorder="1"/>
    <xf numFmtId="3" fontId="2" fillId="0" borderId="18" xfId="0" applyNumberFormat="1" applyFont="1" applyBorder="1"/>
    <xf numFmtId="0" fontId="2" fillId="0" borderId="12" xfId="0" applyFont="1" applyBorder="1" applyAlignment="1">
      <alignment wrapText="1"/>
    </xf>
    <xf numFmtId="0" fontId="2" fillId="0" borderId="12" xfId="1" applyFont="1" applyBorder="1" applyAlignment="1">
      <alignment wrapText="1"/>
    </xf>
    <xf numFmtId="0" fontId="1" fillId="0" borderId="12" xfId="0" applyFont="1" applyBorder="1"/>
    <xf numFmtId="0" fontId="1" fillId="0" borderId="12" xfId="0" applyFont="1" applyBorder="1" applyAlignment="1">
      <alignment horizontal="left"/>
    </xf>
    <xf numFmtId="0" fontId="1" fillId="0" borderId="12" xfId="1" applyFont="1" applyBorder="1" applyAlignment="1">
      <alignment horizontal="left" wrapText="1"/>
    </xf>
    <xf numFmtId="0" fontId="2" fillId="0" borderId="12" xfId="0" applyFont="1" applyBorder="1" applyAlignment="1">
      <alignment vertical="center"/>
    </xf>
    <xf numFmtId="0" fontId="5" fillId="0" borderId="30" xfId="5" applyFont="1" applyBorder="1" applyAlignment="1">
      <alignment horizontal="center" vertical="center" wrapText="1"/>
    </xf>
    <xf numFmtId="0" fontId="1" fillId="0" borderId="30" xfId="5" applyFont="1" applyBorder="1" applyAlignment="1">
      <alignment horizontal="center" vertical="center" wrapText="1"/>
    </xf>
    <xf numFmtId="3" fontId="30" fillId="0" borderId="30" xfId="5" applyNumberFormat="1" applyFont="1" applyBorder="1" applyAlignment="1">
      <alignment horizontal="center" vertical="center" wrapText="1"/>
    </xf>
    <xf numFmtId="0" fontId="29" fillId="0" borderId="0" xfId="5" applyFont="1"/>
    <xf numFmtId="3" fontId="29" fillId="0" borderId="0" xfId="5" applyNumberFormat="1" applyFont="1"/>
    <xf numFmtId="3" fontId="45" fillId="0" borderId="20" xfId="5" applyNumberFormat="1" applyFont="1" applyBorder="1" applyAlignment="1">
      <alignment horizontal="center" vertical="center" wrapText="1"/>
    </xf>
    <xf numFmtId="0" fontId="46" fillId="0" borderId="20" xfId="5" applyFont="1" applyBorder="1" applyAlignment="1">
      <alignment vertical="center" wrapText="1"/>
    </xf>
    <xf numFmtId="3" fontId="47" fillId="0" borderId="20" xfId="5" applyNumberFormat="1" applyFont="1" applyBorder="1" applyAlignment="1">
      <alignment horizontal="center" vertical="center" wrapText="1"/>
    </xf>
    <xf numFmtId="3" fontId="47" fillId="0" borderId="25" xfId="5" applyNumberFormat="1" applyFont="1" applyBorder="1" applyAlignment="1">
      <alignment horizontal="center" vertical="center" wrapText="1"/>
    </xf>
    <xf numFmtId="3" fontId="30" fillId="0" borderId="20" xfId="5" applyNumberFormat="1" applyFont="1" applyBorder="1" applyAlignment="1">
      <alignment horizontal="center" vertical="center" wrapText="1"/>
    </xf>
    <xf numFmtId="3" fontId="47" fillId="0" borderId="28" xfId="5" applyNumberFormat="1" applyFont="1" applyBorder="1" applyAlignment="1">
      <alignment horizontal="center" vertical="center" wrapText="1"/>
    </xf>
    <xf numFmtId="3" fontId="34" fillId="0" borderId="0" xfId="5" applyNumberFormat="1" applyFont="1" applyAlignment="1">
      <alignment horizontal="center" vertical="center" wrapText="1"/>
    </xf>
    <xf numFmtId="0" fontId="16" fillId="0" borderId="0" xfId="7" applyAlignment="1">
      <alignment vertical="center"/>
    </xf>
    <xf numFmtId="0" fontId="16" fillId="0" borderId="0" xfId="7"/>
    <xf numFmtId="4" fontId="19" fillId="0" borderId="5" xfId="7" applyNumberFormat="1" applyFont="1" applyBorder="1" applyAlignment="1">
      <alignment vertical="center"/>
    </xf>
    <xf numFmtId="0" fontId="39" fillId="3" borderId="31" xfId="8" applyFont="1" applyFill="1" applyBorder="1" applyAlignment="1">
      <alignment horizontal="left" vertical="center"/>
    </xf>
    <xf numFmtId="0" fontId="39" fillId="3" borderId="32" xfId="8" applyFont="1" applyFill="1" applyBorder="1" applyAlignment="1">
      <alignment horizontal="left" vertical="center"/>
    </xf>
    <xf numFmtId="0" fontId="39" fillId="3" borderId="33" xfId="8" applyFont="1" applyFill="1" applyBorder="1" applyAlignment="1">
      <alignment horizontal="left" vertical="center"/>
    </xf>
    <xf numFmtId="0" fontId="36" fillId="3" borderId="31" xfId="8" applyFont="1" applyFill="1" applyBorder="1" applyAlignment="1">
      <alignment horizontal="center"/>
    </xf>
    <xf numFmtId="0" fontId="36" fillId="3" borderId="32" xfId="8" applyFont="1" applyFill="1" applyBorder="1" applyAlignment="1">
      <alignment horizontal="center"/>
    </xf>
    <xf numFmtId="4" fontId="36" fillId="3" borderId="13" xfId="8" applyNumberFormat="1" applyFont="1" applyFill="1" applyBorder="1"/>
    <xf numFmtId="0" fontId="36" fillId="0" borderId="0" xfId="8" applyFont="1" applyAlignment="1">
      <alignment vertical="center"/>
    </xf>
    <xf numFmtId="0" fontId="0" fillId="0" borderId="0" xfId="0" applyAlignment="1">
      <alignment vertical="center"/>
    </xf>
    <xf numFmtId="0" fontId="19" fillId="0" borderId="14" xfId="0" applyFont="1" applyBorder="1" applyAlignment="1">
      <alignment vertical="center" wrapText="1"/>
    </xf>
    <xf numFmtId="0" fontId="19" fillId="3" borderId="13" xfId="0" applyFont="1" applyFill="1" applyBorder="1" applyAlignment="1">
      <alignment horizontal="left" vertical="center" indent="2"/>
    </xf>
    <xf numFmtId="4" fontId="19" fillId="3" borderId="5" xfId="0" applyNumberFormat="1" applyFont="1" applyFill="1" applyBorder="1" applyAlignment="1">
      <alignment vertical="center"/>
    </xf>
    <xf numFmtId="0" fontId="0" fillId="3" borderId="0" xfId="0" applyFill="1"/>
    <xf numFmtId="0" fontId="2" fillId="0" borderId="0" xfId="0" applyFont="1"/>
    <xf numFmtId="0" fontId="23" fillId="0" borderId="0" xfId="0" applyFont="1" applyAlignment="1">
      <alignment vertical="center"/>
    </xf>
    <xf numFmtId="4" fontId="48" fillId="0" borderId="3" xfId="0" applyNumberFormat="1" applyFont="1" applyBorder="1" applyAlignment="1">
      <alignment vertical="center"/>
    </xf>
    <xf numFmtId="0" fontId="21" fillId="0" borderId="3" xfId="0" applyFont="1" applyBorder="1"/>
    <xf numFmtId="0" fontId="21" fillId="0" borderId="3" xfId="0" applyFont="1" applyBorder="1" applyAlignment="1">
      <alignment wrapText="1"/>
    </xf>
    <xf numFmtId="0" fontId="21" fillId="0" borderId="5" xfId="0" applyFont="1" applyBorder="1"/>
    <xf numFmtId="4" fontId="48" fillId="0" borderId="5" xfId="0" applyNumberFormat="1" applyFont="1" applyBorder="1" applyAlignment="1">
      <alignment vertical="center"/>
    </xf>
    <xf numFmtId="0" fontId="17" fillId="0" borderId="31" xfId="0" applyFont="1" applyBorder="1" applyAlignment="1">
      <alignment horizontal="center" vertical="center"/>
    </xf>
    <xf numFmtId="0" fontId="44" fillId="0" borderId="32" xfId="0" applyFont="1" applyBorder="1" applyAlignment="1">
      <alignment horizontal="right" vertical="center"/>
    </xf>
    <xf numFmtId="0" fontId="0" fillId="0" borderId="32" xfId="0" applyBorder="1" applyAlignment="1">
      <alignment horizontal="center" vertical="center"/>
    </xf>
    <xf numFmtId="4" fontId="17" fillId="0" borderId="33" xfId="0" applyNumberFormat="1" applyFont="1" applyBorder="1" applyAlignment="1">
      <alignment vertical="center"/>
    </xf>
    <xf numFmtId="4" fontId="17" fillId="0" borderId="13" xfId="0" applyNumberFormat="1" applyFont="1" applyBorder="1" applyAlignment="1">
      <alignment vertical="center"/>
    </xf>
    <xf numFmtId="0" fontId="49" fillId="0" borderId="0" xfId="0" applyFont="1" applyAlignment="1">
      <alignment vertical="center"/>
    </xf>
    <xf numFmtId="0" fontId="19" fillId="0" borderId="6" xfId="7" applyFont="1" applyBorder="1" applyAlignment="1">
      <alignment horizontal="centerContinuous" vertical="center"/>
    </xf>
    <xf numFmtId="0" fontId="19" fillId="0" borderId="35" xfId="7" applyFont="1" applyBorder="1" applyAlignment="1">
      <alignment horizontal="centerContinuous" vertical="center"/>
    </xf>
    <xf numFmtId="0" fontId="19" fillId="0" borderId="34" xfId="7" applyFont="1" applyBorder="1" applyAlignment="1">
      <alignment horizontal="centerContinuous" vertical="center"/>
    </xf>
  </cellXfs>
  <cellStyles count="11">
    <cellStyle name="Dziesiętny 2" xfId="4" xr:uid="{5E62DE0B-3DD3-4E00-BDEC-0765155CBE56}"/>
    <cellStyle name="Dziesiętny 3" xfId="6" xr:uid="{1C5DBCC3-1855-4164-98C7-ABCF03D94DC2}"/>
    <cellStyle name="Excel Built-in Normal" xfId="5" xr:uid="{FA13EDE7-35D9-49F5-8C5A-914600585C89}"/>
    <cellStyle name="Normalny" xfId="0" builtinId="0"/>
    <cellStyle name="Normalny 2" xfId="1" xr:uid="{D8E637C8-0AC5-47C2-AA65-6BE3D1C402D4}"/>
    <cellStyle name="Normalny 3" xfId="3" xr:uid="{A54704A3-D33A-4046-842F-A5F99B092E8E}"/>
    <cellStyle name="Normalny 3 2" xfId="9" xr:uid="{A03DAD81-3921-4946-B2B0-3CAF2FE7D2E7}"/>
    <cellStyle name="Normalny 4" xfId="7" xr:uid="{9712C824-7AE0-48BD-ABBD-B545446F5065}"/>
    <cellStyle name="Normalny 5" xfId="8" xr:uid="{B39CD1B3-C591-4697-8438-8790E6F12CA5}"/>
    <cellStyle name="Normalny 5 2" xfId="10" xr:uid="{0B434216-D5DF-4463-B03D-622A3DC11B2A}"/>
    <cellStyle name="Zły" xfId="2" builtinId="27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6B225-29E7-4F8C-8A72-2F482094F477}">
  <sheetPr>
    <tabColor rgb="FF0099FF"/>
  </sheetPr>
  <dimension ref="A1:M827"/>
  <sheetViews>
    <sheetView tabSelected="1" zoomScale="160" zoomScaleNormal="16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28515625" customWidth="1"/>
    <col min="8" max="8" width="12.5703125" customWidth="1"/>
    <col min="9" max="9" width="9.85546875" style="46" customWidth="1"/>
    <col min="10" max="10" width="9" style="551" customWidth="1"/>
    <col min="11" max="11" width="9.85546875" style="551" customWidth="1"/>
    <col min="12" max="12" width="9.7109375" customWidth="1"/>
    <col min="13" max="13" width="12.140625" customWidth="1"/>
    <col min="14" max="14" width="10.28515625" customWidth="1"/>
  </cols>
  <sheetData>
    <row r="1" spans="1:13" ht="12.75" customHeight="1" x14ac:dyDescent="0.25">
      <c r="A1" s="1"/>
      <c r="B1" s="1"/>
      <c r="C1" s="2"/>
      <c r="D1" s="3"/>
      <c r="E1" s="3"/>
      <c r="F1" s="3" t="s">
        <v>16</v>
      </c>
      <c r="G1" s="1"/>
      <c r="H1" s="1"/>
    </row>
    <row r="2" spans="1:13" ht="12.75" customHeight="1" x14ac:dyDescent="0.25">
      <c r="A2" s="1"/>
      <c r="B2" s="1"/>
      <c r="C2" s="2"/>
      <c r="D2" s="3"/>
      <c r="E2" s="3"/>
      <c r="F2" s="3" t="s">
        <v>286</v>
      </c>
      <c r="G2" s="1"/>
      <c r="H2" s="1"/>
    </row>
    <row r="3" spans="1:13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13" ht="12.75" customHeight="1" x14ac:dyDescent="0.25">
      <c r="A4" s="1"/>
      <c r="B4" s="1"/>
      <c r="C4" s="2"/>
      <c r="D4" s="3"/>
      <c r="E4" s="3"/>
      <c r="F4" s="3" t="s">
        <v>287</v>
      </c>
      <c r="G4" s="1"/>
      <c r="H4" s="1"/>
    </row>
    <row r="5" spans="1:13" ht="18" customHeight="1" x14ac:dyDescent="0.25">
      <c r="A5" s="4" t="s">
        <v>1</v>
      </c>
      <c r="B5" s="552"/>
      <c r="C5" s="5"/>
      <c r="D5" s="5"/>
      <c r="E5" s="552"/>
      <c r="F5" s="552"/>
      <c r="G5" s="6"/>
      <c r="H5" s="552"/>
    </row>
    <row r="6" spans="1:13" ht="18.75" customHeight="1" x14ac:dyDescent="0.25">
      <c r="A6" s="1"/>
      <c r="B6" s="1"/>
      <c r="C6" s="2"/>
      <c r="D6" s="2"/>
      <c r="E6" s="7"/>
      <c r="F6" s="1"/>
      <c r="G6" s="8"/>
      <c r="H6" s="9" t="s">
        <v>2</v>
      </c>
    </row>
    <row r="7" spans="1:13" s="16" customFormat="1" ht="11.25" x14ac:dyDescent="0.2">
      <c r="A7" s="10"/>
      <c r="B7" s="10"/>
      <c r="C7" s="11"/>
      <c r="D7" s="12"/>
      <c r="E7" s="13" t="s">
        <v>3</v>
      </c>
      <c r="F7" s="14"/>
      <c r="G7" s="15"/>
      <c r="H7" s="13" t="s">
        <v>3</v>
      </c>
      <c r="I7" s="46"/>
      <c r="J7" s="47"/>
      <c r="K7" s="48"/>
      <c r="M7" s="49"/>
    </row>
    <row r="8" spans="1:13" s="16" customFormat="1" ht="11.25" x14ac:dyDescent="0.2">
      <c r="A8" s="17" t="s">
        <v>4</v>
      </c>
      <c r="B8" s="17" t="s">
        <v>5</v>
      </c>
      <c r="C8" s="18" t="s">
        <v>6</v>
      </c>
      <c r="D8" s="19" t="s">
        <v>7</v>
      </c>
      <c r="E8" s="17" t="s">
        <v>8</v>
      </c>
      <c r="F8" s="20" t="s">
        <v>9</v>
      </c>
      <c r="G8" s="17" t="s">
        <v>10</v>
      </c>
      <c r="H8" s="17" t="s">
        <v>11</v>
      </c>
      <c r="I8" s="46"/>
      <c r="J8" s="47"/>
      <c r="K8" s="50"/>
      <c r="M8" s="51"/>
    </row>
    <row r="9" spans="1:13" s="16" customFormat="1" ht="4.5" customHeight="1" x14ac:dyDescent="0.2">
      <c r="A9" s="21"/>
      <c r="B9" s="21"/>
      <c r="C9" s="22"/>
      <c r="D9" s="23"/>
      <c r="E9" s="21"/>
      <c r="F9" s="24"/>
      <c r="G9" s="24"/>
      <c r="H9" s="21"/>
      <c r="I9" s="46"/>
      <c r="J9" s="47"/>
      <c r="K9" s="47"/>
    </row>
    <row r="10" spans="1:13" s="16" customFormat="1" ht="18" customHeight="1" thickBot="1" x14ac:dyDescent="0.25">
      <c r="A10" s="69"/>
      <c r="B10" s="69"/>
      <c r="C10" s="26"/>
      <c r="D10" s="27" t="s">
        <v>92</v>
      </c>
      <c r="E10" s="28">
        <v>902934931.56999993</v>
      </c>
      <c r="F10" s="28">
        <f>SUM(F11,F49,F72)</f>
        <v>1906081</v>
      </c>
      <c r="G10" s="28">
        <f>SUM(G11,G49,G72)</f>
        <v>210000</v>
      </c>
      <c r="H10" s="28">
        <f t="shared" ref="H10:H25" si="0">SUM(E10+F10-G10)</f>
        <v>904631012.56999993</v>
      </c>
      <c r="I10" s="46"/>
      <c r="J10" s="47"/>
      <c r="K10" s="47"/>
    </row>
    <row r="11" spans="1:13" s="16" customFormat="1" ht="17.25" customHeight="1" thickBot="1" x14ac:dyDescent="0.25">
      <c r="A11" s="69"/>
      <c r="B11" s="69"/>
      <c r="C11" s="26"/>
      <c r="D11" s="29" t="s">
        <v>93</v>
      </c>
      <c r="E11" s="30">
        <v>833971480.48999989</v>
      </c>
      <c r="F11" s="30">
        <f>SUM(F12,F17,F22,F26,F39,F45)</f>
        <v>1492458</v>
      </c>
      <c r="G11" s="30">
        <f>SUM(G12,G17,G22,G26,G39,G45)</f>
        <v>0</v>
      </c>
      <c r="H11" s="30">
        <f t="shared" si="0"/>
        <v>835463938.48999989</v>
      </c>
      <c r="I11" s="46"/>
      <c r="J11" s="47"/>
      <c r="K11" s="47"/>
    </row>
    <row r="12" spans="1:13" s="16" customFormat="1" ht="17.25" customHeight="1" thickTop="1" thickBot="1" x14ac:dyDescent="0.25">
      <c r="A12" s="119">
        <v>710</v>
      </c>
      <c r="B12" s="31"/>
      <c r="C12" s="32"/>
      <c r="D12" s="33" t="s">
        <v>94</v>
      </c>
      <c r="E12" s="30">
        <v>4765100</v>
      </c>
      <c r="F12" s="34">
        <f>SUM(F13)</f>
        <v>20000</v>
      </c>
      <c r="G12" s="34">
        <f>SUM(G13)</f>
        <v>0</v>
      </c>
      <c r="H12" s="30">
        <f t="shared" si="0"/>
        <v>4785100</v>
      </c>
      <c r="I12" s="46"/>
      <c r="J12" s="47"/>
      <c r="K12" s="47"/>
    </row>
    <row r="13" spans="1:13" s="16" customFormat="1" ht="12" customHeight="1" thickTop="1" x14ac:dyDescent="0.2">
      <c r="A13" s="20"/>
      <c r="B13" s="26" t="s">
        <v>95</v>
      </c>
      <c r="C13" s="120"/>
      <c r="D13" s="36" t="s">
        <v>96</v>
      </c>
      <c r="E13" s="37">
        <v>4365000</v>
      </c>
      <c r="F13" s="38">
        <f>SUM(F15)</f>
        <v>20000</v>
      </c>
      <c r="G13" s="38">
        <f>SUM(G15)</f>
        <v>0</v>
      </c>
      <c r="H13" s="37">
        <f t="shared" si="0"/>
        <v>4385000</v>
      </c>
      <c r="I13" s="46"/>
      <c r="J13" s="47"/>
      <c r="K13" s="47"/>
    </row>
    <row r="14" spans="1:13" s="16" customFormat="1" ht="12" customHeight="1" x14ac:dyDescent="0.2">
      <c r="A14" s="69"/>
      <c r="B14" s="69"/>
      <c r="C14" s="26"/>
      <c r="D14" s="553" t="s">
        <v>97</v>
      </c>
      <c r="E14" s="554">
        <v>65000</v>
      </c>
      <c r="F14" s="555">
        <f>SUM(F15:F15)</f>
        <v>20000</v>
      </c>
      <c r="G14" s="555">
        <f>SUM(G15:G15)</f>
        <v>0</v>
      </c>
      <c r="H14" s="554">
        <f t="shared" si="0"/>
        <v>85000</v>
      </c>
      <c r="I14" s="61"/>
      <c r="J14" s="47"/>
      <c r="K14" s="47"/>
    </row>
    <row r="15" spans="1:13" s="16" customFormat="1" ht="35.25" customHeight="1" x14ac:dyDescent="0.2">
      <c r="A15" s="69"/>
      <c r="B15" s="69"/>
      <c r="C15" s="121" t="s">
        <v>98</v>
      </c>
      <c r="D15" s="122" t="s">
        <v>99</v>
      </c>
      <c r="E15" s="41">
        <v>65000</v>
      </c>
      <c r="F15" s="42">
        <v>20000</v>
      </c>
      <c r="G15" s="123"/>
      <c r="H15" s="41">
        <f t="shared" si="0"/>
        <v>85000</v>
      </c>
      <c r="I15" s="61"/>
      <c r="J15" s="47"/>
      <c r="K15" s="47"/>
    </row>
    <row r="16" spans="1:13" s="16" customFormat="1" ht="12" customHeight="1" x14ac:dyDescent="0.2">
      <c r="A16" s="119">
        <v>754</v>
      </c>
      <c r="B16" s="31"/>
      <c r="C16" s="32"/>
      <c r="D16" s="31" t="s">
        <v>100</v>
      </c>
      <c r="E16" s="124"/>
      <c r="F16" s="124"/>
      <c r="G16" s="124"/>
      <c r="H16" s="124"/>
      <c r="I16" s="61"/>
      <c r="J16" s="47"/>
      <c r="K16" s="47"/>
    </row>
    <row r="17" spans="1:13" s="16" customFormat="1" ht="12" customHeight="1" thickBot="1" x14ac:dyDescent="0.25">
      <c r="A17" s="119"/>
      <c r="B17" s="31"/>
      <c r="C17" s="32"/>
      <c r="D17" s="31" t="s">
        <v>101</v>
      </c>
      <c r="E17" s="30">
        <v>141404</v>
      </c>
      <c r="F17" s="34">
        <f>SUM(F18)</f>
        <v>100000</v>
      </c>
      <c r="G17" s="34">
        <f>SUM(G18)</f>
        <v>0</v>
      </c>
      <c r="H17" s="30">
        <f>SUM(E17+F17-G17)</f>
        <v>241404</v>
      </c>
      <c r="I17" s="61"/>
      <c r="J17" s="47"/>
      <c r="K17" s="47"/>
    </row>
    <row r="18" spans="1:13" s="16" customFormat="1" ht="12" customHeight="1" thickTop="1" x14ac:dyDescent="0.2">
      <c r="A18" s="119"/>
      <c r="B18" s="70">
        <v>75411</v>
      </c>
      <c r="C18" s="57"/>
      <c r="D18" s="125" t="s">
        <v>102</v>
      </c>
      <c r="E18" s="37">
        <v>250</v>
      </c>
      <c r="F18" s="38">
        <f>SUM(F19)</f>
        <v>100000</v>
      </c>
      <c r="G18" s="38">
        <f>SUM(G19)</f>
        <v>0</v>
      </c>
      <c r="H18" s="37">
        <f>SUM(E18+F18-G18)</f>
        <v>100250</v>
      </c>
      <c r="I18" s="61"/>
      <c r="J18" s="47"/>
      <c r="K18" s="47"/>
    </row>
    <row r="19" spans="1:13" s="16" customFormat="1" ht="12" customHeight="1" x14ac:dyDescent="0.2">
      <c r="A19" s="119"/>
      <c r="B19" s="70"/>
      <c r="C19" s="57"/>
      <c r="D19" s="556" t="s">
        <v>103</v>
      </c>
      <c r="E19" s="557">
        <v>250</v>
      </c>
      <c r="F19" s="557">
        <f>SUM(F20:F21)</f>
        <v>100000</v>
      </c>
      <c r="G19" s="557">
        <f>SUM(G20:G21)</f>
        <v>0</v>
      </c>
      <c r="H19" s="554">
        <f>SUM(E19+F19-G19)</f>
        <v>100250</v>
      </c>
      <c r="I19" s="61"/>
      <c r="J19" s="47"/>
      <c r="K19" s="47"/>
    </row>
    <row r="20" spans="1:13" s="16" customFormat="1" ht="30.75" customHeight="1" x14ac:dyDescent="0.2">
      <c r="A20" s="126"/>
      <c r="B20" s="70"/>
      <c r="C20" s="127">
        <v>2440</v>
      </c>
      <c r="D20" s="128" t="s">
        <v>104</v>
      </c>
      <c r="E20" s="40">
        <v>0</v>
      </c>
      <c r="F20" s="40">
        <v>21000</v>
      </c>
      <c r="G20" s="40"/>
      <c r="H20" s="41">
        <f t="shared" ref="H20:H21" si="1">SUM(E20+F20-G20)</f>
        <v>21000</v>
      </c>
      <c r="I20" s="61"/>
      <c r="J20" s="47"/>
      <c r="K20" s="47"/>
    </row>
    <row r="21" spans="1:13" s="16" customFormat="1" ht="45" customHeight="1" x14ac:dyDescent="0.2">
      <c r="A21" s="119"/>
      <c r="B21" s="129"/>
      <c r="C21" s="60" t="s">
        <v>105</v>
      </c>
      <c r="D21" s="56" t="s">
        <v>106</v>
      </c>
      <c r="E21" s="40">
        <v>0</v>
      </c>
      <c r="F21" s="42">
        <v>79000</v>
      </c>
      <c r="G21" s="42"/>
      <c r="H21" s="41">
        <f t="shared" si="1"/>
        <v>79000</v>
      </c>
      <c r="I21" s="61"/>
      <c r="J21" s="47"/>
      <c r="K21" s="47"/>
    </row>
    <row r="22" spans="1:13" s="16" customFormat="1" ht="12" customHeight="1" thickBot="1" x14ac:dyDescent="0.25">
      <c r="A22" s="130">
        <v>758</v>
      </c>
      <c r="B22" s="17"/>
      <c r="C22" s="17"/>
      <c r="D22" s="131" t="s">
        <v>107</v>
      </c>
      <c r="E22" s="30">
        <v>246048499.52000001</v>
      </c>
      <c r="F22" s="34">
        <f>SUM(F23)</f>
        <v>285957</v>
      </c>
      <c r="G22" s="34">
        <f t="shared" ref="F22:G23" si="2">SUM(G23)</f>
        <v>0</v>
      </c>
      <c r="H22" s="30">
        <f t="shared" si="0"/>
        <v>246334456.52000001</v>
      </c>
      <c r="I22" s="46"/>
      <c r="J22" s="47"/>
      <c r="K22" s="132"/>
    </row>
    <row r="23" spans="1:13" s="16" customFormat="1" ht="12.75" customHeight="1" thickTop="1" x14ac:dyDescent="0.2">
      <c r="A23" s="130"/>
      <c r="B23" s="26" t="s">
        <v>108</v>
      </c>
      <c r="C23" s="120"/>
      <c r="D23" s="36" t="s">
        <v>109</v>
      </c>
      <c r="E23" s="37">
        <v>2627249</v>
      </c>
      <c r="F23" s="38">
        <f t="shared" si="2"/>
        <v>285957</v>
      </c>
      <c r="G23" s="38">
        <f t="shared" si="2"/>
        <v>0</v>
      </c>
      <c r="H23" s="37">
        <f t="shared" si="0"/>
        <v>2913206</v>
      </c>
      <c r="I23" s="46"/>
      <c r="J23" s="47"/>
      <c r="K23" s="47"/>
    </row>
    <row r="24" spans="1:13" s="16" customFormat="1" ht="20.25" customHeight="1" x14ac:dyDescent="0.2">
      <c r="A24" s="69"/>
      <c r="B24" s="133"/>
      <c r="C24" s="26"/>
      <c r="D24" s="558" t="s">
        <v>110</v>
      </c>
      <c r="E24" s="554">
        <v>2327249</v>
      </c>
      <c r="F24" s="555">
        <f>SUM(F25:F25)</f>
        <v>285957</v>
      </c>
      <c r="G24" s="555">
        <f>SUM(G25:G25)</f>
        <v>0</v>
      </c>
      <c r="H24" s="554">
        <f t="shared" si="0"/>
        <v>2613206</v>
      </c>
      <c r="I24" s="61"/>
      <c r="J24" s="47"/>
      <c r="K24" s="47"/>
    </row>
    <row r="25" spans="1:13" s="16" customFormat="1" ht="36" customHeight="1" x14ac:dyDescent="0.2">
      <c r="A25" s="69"/>
      <c r="B25" s="133"/>
      <c r="C25" s="121" t="s">
        <v>111</v>
      </c>
      <c r="D25" s="134" t="s">
        <v>112</v>
      </c>
      <c r="E25" s="41">
        <v>2327249</v>
      </c>
      <c r="F25" s="41">
        <f>232936+53021</f>
        <v>285957</v>
      </c>
      <c r="G25" s="42"/>
      <c r="H25" s="41">
        <f t="shared" si="0"/>
        <v>2613206</v>
      </c>
      <c r="I25" s="46"/>
      <c r="J25" s="47"/>
      <c r="K25" s="47"/>
    </row>
    <row r="26" spans="1:13" s="16" customFormat="1" ht="12.75" customHeight="1" thickBot="1" x14ac:dyDescent="0.25">
      <c r="A26" s="31">
        <v>852</v>
      </c>
      <c r="B26" s="31"/>
      <c r="C26" s="32"/>
      <c r="D26" s="33" t="s">
        <v>113</v>
      </c>
      <c r="E26" s="34">
        <v>22320402.149999999</v>
      </c>
      <c r="F26" s="34">
        <f>SUM(F27,F31,F34)</f>
        <v>961033</v>
      </c>
      <c r="G26" s="34">
        <f>SUM(G27,G31,G34)</f>
        <v>0</v>
      </c>
      <c r="H26" s="34">
        <f>SUM(E26+F26-G26)</f>
        <v>23281435.149999999</v>
      </c>
      <c r="I26" s="46"/>
      <c r="J26" s="47"/>
      <c r="K26" s="47"/>
      <c r="L26" s="47"/>
      <c r="M26" s="47"/>
    </row>
    <row r="27" spans="1:13" s="16" customFormat="1" ht="12.75" customHeight="1" thickTop="1" x14ac:dyDescent="0.2">
      <c r="A27" s="31"/>
      <c r="B27" s="25">
        <v>85202</v>
      </c>
      <c r="C27" s="26"/>
      <c r="D27" s="36" t="s">
        <v>114</v>
      </c>
      <c r="E27" s="37">
        <v>2070741.5</v>
      </c>
      <c r="F27" s="38">
        <f>SUM(F28)</f>
        <v>577800</v>
      </c>
      <c r="G27" s="38">
        <f>SUM(G28)</f>
        <v>0</v>
      </c>
      <c r="H27" s="37">
        <f t="shared" ref="H27:H29" si="3">SUM(E27+F27-G27)</f>
        <v>2648541.5</v>
      </c>
      <c r="I27" s="46"/>
      <c r="J27" s="135"/>
      <c r="K27" s="47"/>
      <c r="L27" s="47"/>
      <c r="M27" s="47"/>
    </row>
    <row r="28" spans="1:13" s="16" customFormat="1" ht="12.75" customHeight="1" x14ac:dyDescent="0.2">
      <c r="A28" s="31"/>
      <c r="B28" s="35"/>
      <c r="C28" s="26"/>
      <c r="D28" s="553" t="s">
        <v>97</v>
      </c>
      <c r="E28" s="554">
        <v>212063</v>
      </c>
      <c r="F28" s="555">
        <f>SUM(F29:F29)</f>
        <v>577800</v>
      </c>
      <c r="G28" s="555">
        <f>SUM(G29:G29)</f>
        <v>0</v>
      </c>
      <c r="H28" s="554">
        <f t="shared" si="3"/>
        <v>789863</v>
      </c>
      <c r="I28" s="46"/>
      <c r="J28" s="135"/>
      <c r="K28" s="47"/>
      <c r="L28" s="47"/>
      <c r="M28" s="47"/>
    </row>
    <row r="29" spans="1:13" s="16" customFormat="1" ht="23.25" customHeight="1" x14ac:dyDescent="0.2">
      <c r="A29" s="31"/>
      <c r="B29" s="35"/>
      <c r="C29" s="121" t="s">
        <v>115</v>
      </c>
      <c r="D29" s="122" t="s">
        <v>116</v>
      </c>
      <c r="E29" s="41">
        <v>212063</v>
      </c>
      <c r="F29" s="41">
        <v>577800</v>
      </c>
      <c r="G29" s="42"/>
      <c r="H29" s="41">
        <f t="shared" si="3"/>
        <v>789863</v>
      </c>
      <c r="I29" s="46"/>
      <c r="J29" s="47"/>
      <c r="K29" s="47"/>
      <c r="L29" s="47"/>
      <c r="M29" s="47"/>
    </row>
    <row r="30" spans="1:13" s="16" customFormat="1" ht="12" customHeight="1" x14ac:dyDescent="0.2">
      <c r="A30" s="31"/>
      <c r="B30" s="35">
        <v>85214</v>
      </c>
      <c r="C30" s="26"/>
      <c r="D30" s="136" t="s">
        <v>117</v>
      </c>
      <c r="E30" s="124"/>
      <c r="F30" s="137"/>
      <c r="G30" s="137"/>
      <c r="H30" s="124"/>
      <c r="I30" s="46"/>
      <c r="J30" s="47"/>
      <c r="K30" s="47"/>
    </row>
    <row r="31" spans="1:13" s="16" customFormat="1" ht="12" customHeight="1" x14ac:dyDescent="0.2">
      <c r="A31" s="31"/>
      <c r="B31" s="35"/>
      <c r="C31" s="26"/>
      <c r="D31" s="138" t="s">
        <v>118</v>
      </c>
      <c r="E31" s="37">
        <v>6807334</v>
      </c>
      <c r="F31" s="38">
        <f>SUM(F32)</f>
        <v>3576</v>
      </c>
      <c r="G31" s="38">
        <f>SUM(G32)</f>
        <v>0</v>
      </c>
      <c r="H31" s="37">
        <f>SUM(E31+F31-G31)</f>
        <v>6810910</v>
      </c>
      <c r="I31" s="46"/>
      <c r="J31" s="139"/>
      <c r="K31" s="140"/>
      <c r="L31" s="140"/>
      <c r="M31" s="47"/>
    </row>
    <row r="32" spans="1:13" s="16" customFormat="1" ht="12" customHeight="1" x14ac:dyDescent="0.2">
      <c r="A32" s="31"/>
      <c r="B32" s="31"/>
      <c r="C32" s="53"/>
      <c r="D32" s="559" t="s">
        <v>119</v>
      </c>
      <c r="E32" s="554">
        <v>5443</v>
      </c>
      <c r="F32" s="555">
        <f>SUM(F33:F33)</f>
        <v>3576</v>
      </c>
      <c r="G32" s="555">
        <f>SUM(G33:G33)</f>
        <v>0</v>
      </c>
      <c r="H32" s="554">
        <f t="shared" ref="H32:H33" si="4">SUM(E32+F32-G32)</f>
        <v>9019</v>
      </c>
      <c r="I32" s="61"/>
      <c r="J32" s="47"/>
      <c r="K32" s="47"/>
    </row>
    <row r="33" spans="1:11" s="16" customFormat="1" ht="34.5" customHeight="1" x14ac:dyDescent="0.2">
      <c r="A33" s="31"/>
      <c r="B33" s="31"/>
      <c r="C33" s="121" t="s">
        <v>111</v>
      </c>
      <c r="D33" s="134" t="s">
        <v>112</v>
      </c>
      <c r="E33" s="41">
        <v>5443</v>
      </c>
      <c r="F33" s="41">
        <v>3576</v>
      </c>
      <c r="G33" s="42"/>
      <c r="H33" s="41">
        <f t="shared" si="4"/>
        <v>9019</v>
      </c>
      <c r="I33" s="46"/>
      <c r="J33" s="47"/>
      <c r="K33" s="47"/>
    </row>
    <row r="34" spans="1:11" s="16" customFormat="1" ht="12" customHeight="1" x14ac:dyDescent="0.2">
      <c r="A34" s="31"/>
      <c r="B34" s="35">
        <v>85230</v>
      </c>
      <c r="C34" s="26"/>
      <c r="D34" s="36" t="s">
        <v>120</v>
      </c>
      <c r="E34" s="37">
        <v>4118222</v>
      </c>
      <c r="F34" s="38">
        <f>SUM(F35,F37)</f>
        <v>379657</v>
      </c>
      <c r="G34" s="38">
        <f>SUM(G35,G37)</f>
        <v>0</v>
      </c>
      <c r="H34" s="37">
        <f>SUM(E34+F34-G34)</f>
        <v>4497879</v>
      </c>
      <c r="I34" s="46"/>
      <c r="J34" s="47"/>
      <c r="K34" s="47"/>
    </row>
    <row r="35" spans="1:11" s="16" customFormat="1" ht="12" customHeight="1" x14ac:dyDescent="0.2">
      <c r="A35" s="31"/>
      <c r="B35" s="35"/>
      <c r="C35" s="26"/>
      <c r="D35" s="553" t="s">
        <v>97</v>
      </c>
      <c r="E35" s="554">
        <v>4100462</v>
      </c>
      <c r="F35" s="555">
        <f>SUM(F36)</f>
        <v>377698</v>
      </c>
      <c r="G35" s="555">
        <f>SUM(G36)</f>
        <v>0</v>
      </c>
      <c r="H35" s="554">
        <f t="shared" ref="H35:H38" si="5">SUM(E35+F35-G35)</f>
        <v>4478160</v>
      </c>
      <c r="I35" s="46"/>
      <c r="J35" s="47"/>
      <c r="K35" s="47"/>
    </row>
    <row r="36" spans="1:11" s="16" customFormat="1" ht="35.25" customHeight="1" x14ac:dyDescent="0.2">
      <c r="A36" s="31"/>
      <c r="B36" s="35"/>
      <c r="C36" s="121" t="s">
        <v>121</v>
      </c>
      <c r="D36" s="134" t="s">
        <v>122</v>
      </c>
      <c r="E36" s="40">
        <v>4100462</v>
      </c>
      <c r="F36" s="42">
        <v>377698</v>
      </c>
      <c r="G36" s="42"/>
      <c r="H36" s="40">
        <f t="shared" si="5"/>
        <v>4478160</v>
      </c>
      <c r="I36" s="46"/>
      <c r="J36" s="47"/>
      <c r="K36" s="47"/>
    </row>
    <row r="37" spans="1:11" s="16" customFormat="1" ht="20.25" customHeight="1" x14ac:dyDescent="0.2">
      <c r="A37" s="31"/>
      <c r="B37" s="31"/>
      <c r="C37" s="53"/>
      <c r="D37" s="559" t="s">
        <v>123</v>
      </c>
      <c r="E37" s="554">
        <v>16217</v>
      </c>
      <c r="F37" s="555">
        <f>SUM(F38:F38)</f>
        <v>1959</v>
      </c>
      <c r="G37" s="555">
        <f>SUM(G38:G38)</f>
        <v>0</v>
      </c>
      <c r="H37" s="554">
        <f t="shared" si="5"/>
        <v>18176</v>
      </c>
      <c r="I37" s="61"/>
      <c r="J37" s="47"/>
      <c r="K37" s="47"/>
    </row>
    <row r="38" spans="1:11" s="16" customFormat="1" ht="34.5" customHeight="1" x14ac:dyDescent="0.2">
      <c r="A38" s="31"/>
      <c r="B38" s="31"/>
      <c r="C38" s="121" t="s">
        <v>111</v>
      </c>
      <c r="D38" s="134" t="s">
        <v>112</v>
      </c>
      <c r="E38" s="41">
        <v>16217</v>
      </c>
      <c r="F38" s="41">
        <v>1959</v>
      </c>
      <c r="G38" s="42"/>
      <c r="H38" s="41">
        <f t="shared" si="5"/>
        <v>18176</v>
      </c>
      <c r="I38" s="46"/>
      <c r="J38" s="47"/>
      <c r="K38" s="47"/>
    </row>
    <row r="39" spans="1:11" s="16" customFormat="1" ht="12" customHeight="1" thickBot="1" x14ac:dyDescent="0.25">
      <c r="A39" s="119">
        <v>854</v>
      </c>
      <c r="B39" s="31"/>
      <c r="C39" s="32"/>
      <c r="D39" s="33" t="s">
        <v>124</v>
      </c>
      <c r="E39" s="34">
        <v>898083.47</v>
      </c>
      <c r="F39" s="34">
        <f>SUM(F40)</f>
        <v>95540</v>
      </c>
      <c r="G39" s="34">
        <f>SUM(G40)</f>
        <v>0</v>
      </c>
      <c r="H39" s="34">
        <f>SUM(E39+F39-G39)</f>
        <v>993623.47</v>
      </c>
      <c r="I39" s="46"/>
      <c r="J39" s="47"/>
      <c r="K39" s="47"/>
    </row>
    <row r="40" spans="1:11" s="16" customFormat="1" ht="12" customHeight="1" thickTop="1" x14ac:dyDescent="0.2">
      <c r="A40" s="119"/>
      <c r="B40" s="35">
        <v>85415</v>
      </c>
      <c r="C40" s="26"/>
      <c r="D40" s="36" t="s">
        <v>125</v>
      </c>
      <c r="E40" s="37">
        <v>525400</v>
      </c>
      <c r="F40" s="38">
        <f>SUM(F41,F43)</f>
        <v>95540</v>
      </c>
      <c r="G40" s="38">
        <f>SUM(G41,G43)</f>
        <v>0</v>
      </c>
      <c r="H40" s="37">
        <f>SUM(E40+F40-G40)</f>
        <v>620940</v>
      </c>
      <c r="I40" s="46"/>
      <c r="J40" s="47"/>
      <c r="K40" s="47"/>
    </row>
    <row r="41" spans="1:11" s="16" customFormat="1" ht="20.25" customHeight="1" x14ac:dyDescent="0.2">
      <c r="A41" s="119"/>
      <c r="B41" s="35"/>
      <c r="C41" s="53"/>
      <c r="D41" s="559" t="s">
        <v>126</v>
      </c>
      <c r="E41" s="554">
        <v>0</v>
      </c>
      <c r="F41" s="555">
        <f>SUM(F42)</f>
        <v>20000</v>
      </c>
      <c r="G41" s="555">
        <f>SUM(G42)</f>
        <v>0</v>
      </c>
      <c r="H41" s="554">
        <f>SUM(E41+F41-G41)</f>
        <v>20000</v>
      </c>
      <c r="I41" s="46"/>
      <c r="J41" s="47"/>
      <c r="K41" s="47"/>
    </row>
    <row r="42" spans="1:11" s="16" customFormat="1" ht="34.5" customHeight="1" x14ac:dyDescent="0.2">
      <c r="A42" s="141"/>
      <c r="B42" s="63"/>
      <c r="C42" s="142" t="s">
        <v>111</v>
      </c>
      <c r="D42" s="143" t="s">
        <v>112</v>
      </c>
      <c r="E42" s="37">
        <v>0</v>
      </c>
      <c r="F42" s="37">
        <v>20000</v>
      </c>
      <c r="G42" s="38"/>
      <c r="H42" s="37">
        <f t="shared" ref="H42" si="6">SUM(E42+F42-G42)</f>
        <v>20000</v>
      </c>
      <c r="I42" s="46"/>
      <c r="J42" s="47"/>
      <c r="K42" s="47"/>
    </row>
    <row r="43" spans="1:11" s="16" customFormat="1" ht="12" customHeight="1" x14ac:dyDescent="0.2">
      <c r="A43" s="126"/>
      <c r="B43" s="31"/>
      <c r="C43" s="26"/>
      <c r="D43" s="553" t="s">
        <v>97</v>
      </c>
      <c r="E43" s="554">
        <v>525400</v>
      </c>
      <c r="F43" s="555">
        <f>SUM(F44)</f>
        <v>75540</v>
      </c>
      <c r="G43" s="555">
        <f>SUM(G44)</f>
        <v>0</v>
      </c>
      <c r="H43" s="554">
        <f>SUM(E43+F43-G43)</f>
        <v>600940</v>
      </c>
      <c r="I43" s="46"/>
      <c r="J43" s="47"/>
      <c r="K43" s="47"/>
    </row>
    <row r="44" spans="1:11" s="16" customFormat="1" ht="45.75" customHeight="1" x14ac:dyDescent="0.2">
      <c r="A44" s="126"/>
      <c r="B44" s="31"/>
      <c r="C44" s="121" t="s">
        <v>127</v>
      </c>
      <c r="D44" s="134" t="s">
        <v>128</v>
      </c>
      <c r="E44" s="41">
        <v>0</v>
      </c>
      <c r="F44" s="41">
        <v>75540</v>
      </c>
      <c r="G44" s="42"/>
      <c r="H44" s="41">
        <f t="shared" ref="H44:H49" si="7">SUM(E44+F44-G44)</f>
        <v>75540</v>
      </c>
      <c r="I44" s="46"/>
      <c r="J44" s="47"/>
      <c r="K44" s="47"/>
    </row>
    <row r="45" spans="1:11" s="16" customFormat="1" ht="11.25" customHeight="1" thickBot="1" x14ac:dyDescent="0.25">
      <c r="A45" s="31">
        <v>855</v>
      </c>
      <c r="B45" s="31"/>
      <c r="C45" s="32"/>
      <c r="D45" s="33" t="s">
        <v>129</v>
      </c>
      <c r="E45" s="34">
        <v>27905919.949999999</v>
      </c>
      <c r="F45" s="34">
        <f>SUM(F46)</f>
        <v>29928</v>
      </c>
      <c r="G45" s="34">
        <f>SUM(G46)</f>
        <v>0</v>
      </c>
      <c r="H45" s="34">
        <f t="shared" si="7"/>
        <v>27935847.949999999</v>
      </c>
      <c r="I45" s="46"/>
      <c r="J45" s="47"/>
      <c r="K45" s="47"/>
    </row>
    <row r="46" spans="1:11" s="16" customFormat="1" ht="11.25" customHeight="1" thickTop="1" x14ac:dyDescent="0.2">
      <c r="A46" s="25"/>
      <c r="B46" s="55">
        <v>85595</v>
      </c>
      <c r="C46" s="26"/>
      <c r="D46" s="36" t="s">
        <v>14</v>
      </c>
      <c r="E46" s="37">
        <v>3555655.95</v>
      </c>
      <c r="F46" s="38">
        <f t="shared" ref="F46:G46" si="8">SUM(F47)</f>
        <v>29928</v>
      </c>
      <c r="G46" s="38">
        <f t="shared" si="8"/>
        <v>0</v>
      </c>
      <c r="H46" s="37">
        <f t="shared" si="7"/>
        <v>3585583.95</v>
      </c>
      <c r="I46" s="46"/>
      <c r="J46" s="47"/>
      <c r="K46" s="47"/>
    </row>
    <row r="47" spans="1:11" s="16" customFormat="1" ht="12" customHeight="1" x14ac:dyDescent="0.2">
      <c r="A47" s="126"/>
      <c r="B47" s="31"/>
      <c r="C47" s="53"/>
      <c r="D47" s="559" t="s">
        <v>130</v>
      </c>
      <c r="E47" s="554">
        <v>160080</v>
      </c>
      <c r="F47" s="555">
        <f>SUM(F48:F48)</f>
        <v>29928</v>
      </c>
      <c r="G47" s="555">
        <f>SUM(G48:G48)</f>
        <v>0</v>
      </c>
      <c r="H47" s="554">
        <f t="shared" si="7"/>
        <v>190008</v>
      </c>
      <c r="I47" s="61"/>
      <c r="J47" s="47"/>
      <c r="K47" s="47"/>
    </row>
    <row r="48" spans="1:11" s="16" customFormat="1" ht="34.5" customHeight="1" x14ac:dyDescent="0.2">
      <c r="A48" s="126"/>
      <c r="B48" s="31"/>
      <c r="C48" s="121" t="s">
        <v>111</v>
      </c>
      <c r="D48" s="134" t="s">
        <v>112</v>
      </c>
      <c r="E48" s="41">
        <v>160080</v>
      </c>
      <c r="F48" s="41">
        <v>29928</v>
      </c>
      <c r="G48" s="42"/>
      <c r="H48" s="41">
        <f t="shared" si="7"/>
        <v>190008</v>
      </c>
      <c r="I48" s="46"/>
      <c r="J48" s="47"/>
      <c r="K48" s="47"/>
    </row>
    <row r="49" spans="1:11" s="16" customFormat="1" ht="23.25" customHeight="1" thickBot="1" x14ac:dyDescent="0.25">
      <c r="A49" s="69"/>
      <c r="B49" s="69"/>
      <c r="C49" s="26"/>
      <c r="D49" s="29" t="s">
        <v>131</v>
      </c>
      <c r="E49" s="30">
        <v>47430535.050000004</v>
      </c>
      <c r="F49" s="34">
        <f>SUM(F51,F55,F61,F68)</f>
        <v>172944</v>
      </c>
      <c r="G49" s="34">
        <f>SUM(G51,G55,G61,G68)</f>
        <v>0</v>
      </c>
      <c r="H49" s="30">
        <f t="shared" si="7"/>
        <v>47603479.050000004</v>
      </c>
      <c r="I49" s="46"/>
      <c r="J49" s="47"/>
      <c r="K49" s="47"/>
    </row>
    <row r="50" spans="1:11" s="16" customFormat="1" ht="18.75" customHeight="1" thickTop="1" x14ac:dyDescent="0.2">
      <c r="A50" s="144">
        <v>751</v>
      </c>
      <c r="B50" s="144"/>
      <c r="C50" s="145"/>
      <c r="D50" s="146" t="s">
        <v>132</v>
      </c>
      <c r="E50" s="41"/>
      <c r="F50" s="41"/>
      <c r="G50" s="42"/>
      <c r="H50" s="41"/>
      <c r="I50" s="46"/>
      <c r="J50" s="47"/>
      <c r="K50" s="47"/>
    </row>
    <row r="51" spans="1:11" s="16" customFormat="1" ht="12" customHeight="1" thickBot="1" x14ac:dyDescent="0.25">
      <c r="A51" s="144"/>
      <c r="B51" s="144"/>
      <c r="C51" s="145"/>
      <c r="D51" s="146" t="s">
        <v>133</v>
      </c>
      <c r="E51" s="30">
        <v>223903</v>
      </c>
      <c r="F51" s="34">
        <f>SUM(F52)</f>
        <v>3604</v>
      </c>
      <c r="G51" s="34">
        <f>SUM(G52)</f>
        <v>0</v>
      </c>
      <c r="H51" s="34">
        <f>SUM(E51+F51-G51)</f>
        <v>227507</v>
      </c>
      <c r="I51" s="46"/>
      <c r="J51" s="47"/>
      <c r="K51" s="47"/>
    </row>
    <row r="52" spans="1:11" s="16" customFormat="1" ht="12" customHeight="1" thickTop="1" x14ac:dyDescent="0.2">
      <c r="A52" s="144"/>
      <c r="B52" s="70">
        <v>75110</v>
      </c>
      <c r="C52" s="53"/>
      <c r="D52" s="138" t="s">
        <v>134</v>
      </c>
      <c r="E52" s="37">
        <v>0</v>
      </c>
      <c r="F52" s="38">
        <f t="shared" ref="F52:G53" si="9">SUM(F53)</f>
        <v>3604</v>
      </c>
      <c r="G52" s="38">
        <f t="shared" si="9"/>
        <v>0</v>
      </c>
      <c r="H52" s="37">
        <f t="shared" ref="H52:H54" si="10">SUM(E52+F52-G52)</f>
        <v>3604</v>
      </c>
      <c r="I52" s="46"/>
      <c r="J52" s="47"/>
      <c r="K52" s="47"/>
    </row>
    <row r="53" spans="1:11" s="16" customFormat="1" ht="12" customHeight="1" x14ac:dyDescent="0.2">
      <c r="A53" s="69"/>
      <c r="B53" s="35"/>
      <c r="C53" s="26"/>
      <c r="D53" s="553" t="s">
        <v>97</v>
      </c>
      <c r="E53" s="554">
        <v>0</v>
      </c>
      <c r="F53" s="555">
        <f>SUM(F54)</f>
        <v>3604</v>
      </c>
      <c r="G53" s="555">
        <f t="shared" si="9"/>
        <v>0</v>
      </c>
      <c r="H53" s="554">
        <f t="shared" si="10"/>
        <v>3604</v>
      </c>
      <c r="I53" s="46"/>
      <c r="J53" s="47"/>
      <c r="K53" s="47"/>
    </row>
    <row r="54" spans="1:11" s="16" customFormat="1" ht="47.25" customHeight="1" x14ac:dyDescent="0.2">
      <c r="A54" s="69"/>
      <c r="B54" s="31"/>
      <c r="C54" s="121" t="s">
        <v>135</v>
      </c>
      <c r="D54" s="147" t="s">
        <v>136</v>
      </c>
      <c r="E54" s="40">
        <v>0</v>
      </c>
      <c r="F54" s="41">
        <v>3604</v>
      </c>
      <c r="G54" s="41"/>
      <c r="H54" s="40">
        <f t="shared" si="10"/>
        <v>3604</v>
      </c>
      <c r="I54" s="46"/>
      <c r="J54" s="47"/>
      <c r="K54" s="47"/>
    </row>
    <row r="55" spans="1:11" s="16" customFormat="1" ht="12" customHeight="1" thickBot="1" x14ac:dyDescent="0.25">
      <c r="A55" s="31">
        <v>754</v>
      </c>
      <c r="B55" s="31"/>
      <c r="C55" s="32"/>
      <c r="D55" s="33" t="s">
        <v>137</v>
      </c>
      <c r="E55" s="34">
        <v>1833516</v>
      </c>
      <c r="F55" s="34">
        <f>SUM(F56)</f>
        <v>153744</v>
      </c>
      <c r="G55" s="34">
        <f>SUM(G56)</f>
        <v>0</v>
      </c>
      <c r="H55" s="34">
        <f>SUM(E55+F55-G55)</f>
        <v>1987260</v>
      </c>
      <c r="I55" s="46"/>
      <c r="J55" s="47"/>
      <c r="K55" s="47"/>
    </row>
    <row r="56" spans="1:11" s="16" customFormat="1" ht="12" customHeight="1" thickTop="1" x14ac:dyDescent="0.2">
      <c r="A56" s="35"/>
      <c r="B56" s="35">
        <v>75495</v>
      </c>
      <c r="C56" s="26"/>
      <c r="D56" s="36" t="s">
        <v>14</v>
      </c>
      <c r="E56" s="37">
        <v>1833516</v>
      </c>
      <c r="F56" s="38">
        <f>SUM(F57,F59)</f>
        <v>153744</v>
      </c>
      <c r="G56" s="38">
        <f>SUM(G59)</f>
        <v>0</v>
      </c>
      <c r="H56" s="37">
        <f>SUM(E56+F56-G56)</f>
        <v>1987260</v>
      </c>
      <c r="I56" s="46"/>
      <c r="J56" s="47"/>
      <c r="K56" s="47"/>
    </row>
    <row r="57" spans="1:11" s="16" customFormat="1" ht="24.75" customHeight="1" x14ac:dyDescent="0.2">
      <c r="A57" s="35"/>
      <c r="B57" s="35"/>
      <c r="C57" s="53"/>
      <c r="D57" s="559" t="s">
        <v>138</v>
      </c>
      <c r="E57" s="554">
        <v>269936</v>
      </c>
      <c r="F57" s="555">
        <f>SUM(F58:F58)</f>
        <v>29664</v>
      </c>
      <c r="G57" s="555">
        <f>SUM(G58:G58)</f>
        <v>0</v>
      </c>
      <c r="H57" s="554">
        <f t="shared" ref="H57:H60" si="11">SUM(E57+F57-G57)</f>
        <v>299600</v>
      </c>
      <c r="I57" s="46"/>
      <c r="J57" s="47"/>
      <c r="K57" s="47"/>
    </row>
    <row r="58" spans="1:11" s="16" customFormat="1" ht="33.75" customHeight="1" x14ac:dyDescent="0.2">
      <c r="A58" s="35"/>
      <c r="B58" s="35"/>
      <c r="C58" s="121" t="s">
        <v>111</v>
      </c>
      <c r="D58" s="134" t="s">
        <v>112</v>
      </c>
      <c r="E58" s="41">
        <v>269936</v>
      </c>
      <c r="F58" s="41">
        <f>29360+96+208</f>
        <v>29664</v>
      </c>
      <c r="G58" s="42"/>
      <c r="H58" s="41">
        <f t="shared" si="11"/>
        <v>299600</v>
      </c>
      <c r="I58" s="46"/>
      <c r="J58" s="47"/>
      <c r="K58" s="47"/>
    </row>
    <row r="59" spans="1:11" s="16" customFormat="1" ht="25.5" customHeight="1" x14ac:dyDescent="0.2">
      <c r="A59" s="69"/>
      <c r="B59" s="69"/>
      <c r="C59" s="121"/>
      <c r="D59" s="559" t="s">
        <v>139</v>
      </c>
      <c r="E59" s="554">
        <v>1563580</v>
      </c>
      <c r="F59" s="555">
        <f>SUM(F60:F60)</f>
        <v>124080</v>
      </c>
      <c r="G59" s="555">
        <f>SUM(G60:G60)</f>
        <v>0</v>
      </c>
      <c r="H59" s="554">
        <f t="shared" si="11"/>
        <v>1687660</v>
      </c>
      <c r="I59" s="46"/>
      <c r="J59" s="47"/>
      <c r="K59" s="47"/>
    </row>
    <row r="60" spans="1:11" s="16" customFormat="1" ht="35.25" customHeight="1" x14ac:dyDescent="0.2">
      <c r="A60" s="69"/>
      <c r="B60" s="69"/>
      <c r="C60" s="121" t="s">
        <v>111</v>
      </c>
      <c r="D60" s="134" t="s">
        <v>112</v>
      </c>
      <c r="E60" s="41">
        <v>1563580</v>
      </c>
      <c r="F60" s="41">
        <v>124080</v>
      </c>
      <c r="G60" s="42"/>
      <c r="H60" s="41">
        <f t="shared" si="11"/>
        <v>1687660</v>
      </c>
      <c r="I60" s="46"/>
      <c r="J60" s="47"/>
      <c r="K60" s="47"/>
    </row>
    <row r="61" spans="1:11" s="16" customFormat="1" ht="12" customHeight="1" thickBot="1" x14ac:dyDescent="0.25">
      <c r="A61" s="31">
        <v>852</v>
      </c>
      <c r="B61" s="31"/>
      <c r="C61" s="32"/>
      <c r="D61" s="33" t="s">
        <v>113</v>
      </c>
      <c r="E61" s="30">
        <v>4178134</v>
      </c>
      <c r="F61" s="34">
        <f>SUM(F62,F65)</f>
        <v>12230</v>
      </c>
      <c r="G61" s="34">
        <f>SUM(G62,G65)</f>
        <v>0</v>
      </c>
      <c r="H61" s="34">
        <f>SUM(E61+F61-G61)</f>
        <v>4190364</v>
      </c>
      <c r="I61" s="46"/>
      <c r="J61" s="47"/>
      <c r="K61" s="47"/>
    </row>
    <row r="62" spans="1:11" s="16" customFormat="1" ht="12" customHeight="1" thickTop="1" x14ac:dyDescent="0.2">
      <c r="A62" s="69"/>
      <c r="B62" s="35">
        <v>85219</v>
      </c>
      <c r="C62" s="26"/>
      <c r="D62" s="36" t="s">
        <v>140</v>
      </c>
      <c r="E62" s="37">
        <v>45431</v>
      </c>
      <c r="F62" s="38">
        <f t="shared" ref="F62:G63" si="12">SUM(F63)</f>
        <v>7830</v>
      </c>
      <c r="G62" s="38">
        <f t="shared" si="12"/>
        <v>0</v>
      </c>
      <c r="H62" s="37">
        <f t="shared" ref="H62:H90" si="13">SUM(E62+F62-G62)</f>
        <v>53261</v>
      </c>
      <c r="I62" s="46"/>
      <c r="J62" s="47"/>
      <c r="K62" s="47"/>
    </row>
    <row r="63" spans="1:11" s="16" customFormat="1" ht="12" customHeight="1" x14ac:dyDescent="0.2">
      <c r="A63" s="69"/>
      <c r="B63" s="35"/>
      <c r="C63" s="26"/>
      <c r="D63" s="553" t="s">
        <v>97</v>
      </c>
      <c r="E63" s="554">
        <v>45431</v>
      </c>
      <c r="F63" s="555">
        <f t="shared" si="12"/>
        <v>7830</v>
      </c>
      <c r="G63" s="555">
        <f t="shared" si="12"/>
        <v>0</v>
      </c>
      <c r="H63" s="554">
        <f t="shared" si="13"/>
        <v>53261</v>
      </c>
      <c r="I63" s="46"/>
      <c r="J63" s="47"/>
      <c r="K63" s="47"/>
    </row>
    <row r="64" spans="1:11" s="16" customFormat="1" ht="46.5" customHeight="1" x14ac:dyDescent="0.2">
      <c r="A64" s="69"/>
      <c r="B64" s="31"/>
      <c r="C64" s="121" t="s">
        <v>135</v>
      </c>
      <c r="D64" s="147" t="s">
        <v>136</v>
      </c>
      <c r="E64" s="40">
        <v>45431</v>
      </c>
      <c r="F64" s="41">
        <v>7830</v>
      </c>
      <c r="G64" s="41"/>
      <c r="H64" s="40">
        <f t="shared" si="13"/>
        <v>53261</v>
      </c>
      <c r="I64" s="46"/>
      <c r="J64" s="47"/>
      <c r="K64" s="47"/>
    </row>
    <row r="65" spans="1:11" s="16" customFormat="1" ht="12" customHeight="1" x14ac:dyDescent="0.2">
      <c r="A65" s="69"/>
      <c r="B65" s="35">
        <v>85231</v>
      </c>
      <c r="C65" s="26"/>
      <c r="D65" s="148" t="s">
        <v>141</v>
      </c>
      <c r="E65" s="37">
        <v>3600</v>
      </c>
      <c r="F65" s="38">
        <f t="shared" ref="F65:G66" si="14">SUM(F66)</f>
        <v>4400</v>
      </c>
      <c r="G65" s="38">
        <f t="shared" si="14"/>
        <v>0</v>
      </c>
      <c r="H65" s="37">
        <f t="shared" si="13"/>
        <v>8000</v>
      </c>
      <c r="I65" s="46"/>
      <c r="J65" s="47"/>
      <c r="K65" s="47"/>
    </row>
    <row r="66" spans="1:11" s="16" customFormat="1" ht="12" customHeight="1" x14ac:dyDescent="0.2">
      <c r="A66" s="69"/>
      <c r="B66" s="35"/>
      <c r="C66" s="26"/>
      <c r="D66" s="553" t="s">
        <v>97</v>
      </c>
      <c r="E66" s="554">
        <v>3600</v>
      </c>
      <c r="F66" s="555">
        <f t="shared" si="14"/>
        <v>4400</v>
      </c>
      <c r="G66" s="555">
        <f t="shared" si="14"/>
        <v>0</v>
      </c>
      <c r="H66" s="554">
        <f t="shared" si="13"/>
        <v>8000</v>
      </c>
      <c r="I66" s="46"/>
      <c r="J66" s="47"/>
      <c r="K66" s="47"/>
    </row>
    <row r="67" spans="1:11" s="16" customFormat="1" ht="45" customHeight="1" x14ac:dyDescent="0.2">
      <c r="A67" s="69"/>
      <c r="B67" s="31"/>
      <c r="C67" s="121" t="s">
        <v>135</v>
      </c>
      <c r="D67" s="147" t="s">
        <v>136</v>
      </c>
      <c r="E67" s="40">
        <v>3600</v>
      </c>
      <c r="F67" s="41">
        <v>4400</v>
      </c>
      <c r="G67" s="41"/>
      <c r="H67" s="40">
        <f t="shared" si="13"/>
        <v>8000</v>
      </c>
      <c r="I67" s="46"/>
      <c r="J67" s="47"/>
      <c r="K67" s="47"/>
    </row>
    <row r="68" spans="1:11" s="16" customFormat="1" ht="12" customHeight="1" thickBot="1" x14ac:dyDescent="0.25">
      <c r="A68" s="31">
        <v>853</v>
      </c>
      <c r="B68" s="31"/>
      <c r="C68" s="32"/>
      <c r="D68" s="33" t="s">
        <v>142</v>
      </c>
      <c r="E68" s="34">
        <v>403431.7</v>
      </c>
      <c r="F68" s="34">
        <f>SUM(F69)</f>
        <v>3366</v>
      </c>
      <c r="G68" s="34">
        <f>SUM(G69)</f>
        <v>0</v>
      </c>
      <c r="H68" s="34">
        <f t="shared" si="13"/>
        <v>406797.7</v>
      </c>
      <c r="I68" s="46"/>
      <c r="J68" s="47"/>
      <c r="K68" s="47"/>
    </row>
    <row r="69" spans="1:11" s="16" customFormat="1" ht="12" customHeight="1" thickTop="1" x14ac:dyDescent="0.2">
      <c r="A69" s="31"/>
      <c r="B69" s="35">
        <v>85395</v>
      </c>
      <c r="C69" s="26"/>
      <c r="D69" s="36" t="s">
        <v>14</v>
      </c>
      <c r="E69" s="37">
        <v>403431.7</v>
      </c>
      <c r="F69" s="38">
        <f t="shared" ref="F69:G69" si="15">SUM(F70)</f>
        <v>3366</v>
      </c>
      <c r="G69" s="38">
        <f t="shared" si="15"/>
        <v>0</v>
      </c>
      <c r="H69" s="37">
        <f t="shared" si="13"/>
        <v>406797.7</v>
      </c>
      <c r="I69" s="46"/>
      <c r="J69" s="47"/>
      <c r="K69" s="47"/>
    </row>
    <row r="70" spans="1:11" s="16" customFormat="1" ht="24" customHeight="1" x14ac:dyDescent="0.2">
      <c r="A70" s="31"/>
      <c r="B70" s="35"/>
      <c r="C70" s="26"/>
      <c r="D70" s="558" t="s">
        <v>143</v>
      </c>
      <c r="E70" s="554">
        <v>26928</v>
      </c>
      <c r="F70" s="555">
        <f>SUM(F71:F71)</f>
        <v>3366</v>
      </c>
      <c r="G70" s="555">
        <f>SUM(G71:G71)</f>
        <v>0</v>
      </c>
      <c r="H70" s="554">
        <f t="shared" si="13"/>
        <v>30294</v>
      </c>
      <c r="I70" s="61"/>
      <c r="J70" s="47"/>
      <c r="K70" s="47"/>
    </row>
    <row r="71" spans="1:11" s="16" customFormat="1" ht="35.25" customHeight="1" x14ac:dyDescent="0.2">
      <c r="A71" s="31"/>
      <c r="B71" s="35"/>
      <c r="C71" s="121" t="s">
        <v>111</v>
      </c>
      <c r="D71" s="134" t="s">
        <v>112</v>
      </c>
      <c r="E71" s="41">
        <v>26928</v>
      </c>
      <c r="F71" s="41">
        <v>3366</v>
      </c>
      <c r="G71" s="42"/>
      <c r="H71" s="41">
        <f t="shared" si="13"/>
        <v>30294</v>
      </c>
      <c r="I71" s="46"/>
      <c r="J71" s="47"/>
      <c r="K71" s="47"/>
    </row>
    <row r="72" spans="1:11" s="16" customFormat="1" ht="18.75" customHeight="1" thickBot="1" x14ac:dyDescent="0.25">
      <c r="A72" s="69"/>
      <c r="B72" s="69"/>
      <c r="C72" s="26"/>
      <c r="D72" s="29" t="s">
        <v>144</v>
      </c>
      <c r="E72" s="30">
        <v>21532916.029999997</v>
      </c>
      <c r="F72" s="30">
        <f>SUM(F73,F77,F85)</f>
        <v>240679</v>
      </c>
      <c r="G72" s="30">
        <f>SUM(G73,G77,G85)</f>
        <v>210000</v>
      </c>
      <c r="H72" s="30">
        <f t="shared" si="13"/>
        <v>21563595.029999997</v>
      </c>
      <c r="I72" s="46"/>
      <c r="J72" s="47"/>
      <c r="K72" s="47"/>
    </row>
    <row r="73" spans="1:11" s="16" customFormat="1" ht="18.75" customHeight="1" thickTop="1" thickBot="1" x14ac:dyDescent="0.25">
      <c r="A73" s="31">
        <v>700</v>
      </c>
      <c r="B73" s="31"/>
      <c r="C73" s="32"/>
      <c r="D73" s="33" t="s">
        <v>145</v>
      </c>
      <c r="E73" s="30">
        <v>460100</v>
      </c>
      <c r="F73" s="30">
        <f t="shared" ref="F73:G75" si="16">SUM(F74)</f>
        <v>5037</v>
      </c>
      <c r="G73" s="30">
        <f t="shared" si="16"/>
        <v>0</v>
      </c>
      <c r="H73" s="30">
        <f>SUM(E73+F73-G73)</f>
        <v>465137</v>
      </c>
      <c r="I73" s="46"/>
      <c r="J73" s="47"/>
      <c r="K73" s="47"/>
    </row>
    <row r="74" spans="1:11" s="16" customFormat="1" ht="12" customHeight="1" thickTop="1" x14ac:dyDescent="0.2">
      <c r="A74" s="31"/>
      <c r="B74" s="35">
        <v>70005</v>
      </c>
      <c r="C74" s="26"/>
      <c r="D74" s="138" t="s">
        <v>146</v>
      </c>
      <c r="E74" s="37">
        <v>460100</v>
      </c>
      <c r="F74" s="37">
        <f t="shared" si="16"/>
        <v>5037</v>
      </c>
      <c r="G74" s="37">
        <f t="shared" si="16"/>
        <v>0</v>
      </c>
      <c r="H74" s="37">
        <f>SUM(E74+F74-G74)</f>
        <v>465137</v>
      </c>
      <c r="I74" s="46"/>
      <c r="J74" s="47"/>
      <c r="K74" s="47"/>
    </row>
    <row r="75" spans="1:11" s="16" customFormat="1" ht="12" customHeight="1" x14ac:dyDescent="0.2">
      <c r="A75" s="69"/>
      <c r="B75" s="35"/>
      <c r="C75" s="26"/>
      <c r="D75" s="553" t="s">
        <v>97</v>
      </c>
      <c r="E75" s="554">
        <v>460100</v>
      </c>
      <c r="F75" s="555">
        <f t="shared" si="16"/>
        <v>5037</v>
      </c>
      <c r="G75" s="555">
        <f t="shared" si="16"/>
        <v>0</v>
      </c>
      <c r="H75" s="554">
        <f>SUM(E75+F75-G75)</f>
        <v>465137</v>
      </c>
      <c r="I75" s="46"/>
      <c r="J75" s="47"/>
      <c r="K75" s="47"/>
    </row>
    <row r="76" spans="1:11" s="16" customFormat="1" ht="33.75" customHeight="1" x14ac:dyDescent="0.2">
      <c r="A76" s="63"/>
      <c r="B76" s="149"/>
      <c r="C76" s="150">
        <v>2110</v>
      </c>
      <c r="D76" s="151" t="s">
        <v>147</v>
      </c>
      <c r="E76" s="152">
        <v>460100</v>
      </c>
      <c r="F76" s="153">
        <f>2211+2826</f>
        <v>5037</v>
      </c>
      <c r="G76" s="153"/>
      <c r="H76" s="152">
        <f t="shared" ref="H76:H83" si="17">SUM(E76+F76-G76)</f>
        <v>465137</v>
      </c>
      <c r="I76" s="46"/>
      <c r="J76" s="47"/>
      <c r="K76" s="47"/>
    </row>
    <row r="77" spans="1:11" s="16" customFormat="1" ht="12" customHeight="1" thickBot="1" x14ac:dyDescent="0.25">
      <c r="A77" s="32" t="s">
        <v>148</v>
      </c>
      <c r="B77" s="31"/>
      <c r="C77" s="32"/>
      <c r="D77" s="33" t="s">
        <v>94</v>
      </c>
      <c r="E77" s="30">
        <v>1436100</v>
      </c>
      <c r="F77" s="30">
        <f>SUM(F78,F81)</f>
        <v>9100</v>
      </c>
      <c r="G77" s="30">
        <f>SUM(G78)</f>
        <v>210000</v>
      </c>
      <c r="H77" s="30">
        <f t="shared" si="17"/>
        <v>1235200</v>
      </c>
      <c r="I77" s="46"/>
      <c r="J77" s="47"/>
      <c r="K77" s="47"/>
    </row>
    <row r="78" spans="1:11" s="16" customFormat="1" ht="12" customHeight="1" thickTop="1" x14ac:dyDescent="0.2">
      <c r="A78" s="31"/>
      <c r="B78" s="35">
        <v>71012</v>
      </c>
      <c r="C78" s="25"/>
      <c r="D78" s="36" t="s">
        <v>149</v>
      </c>
      <c r="E78" s="37">
        <v>499000</v>
      </c>
      <c r="F78" s="37">
        <f t="shared" ref="F78:G78" si="18">SUM(F79)</f>
        <v>0</v>
      </c>
      <c r="G78" s="37">
        <f t="shared" si="18"/>
        <v>210000</v>
      </c>
      <c r="H78" s="37">
        <f t="shared" si="17"/>
        <v>289000</v>
      </c>
      <c r="I78" s="46"/>
      <c r="J78" s="47"/>
      <c r="K78" s="47"/>
    </row>
    <row r="79" spans="1:11" s="16" customFormat="1" ht="12" customHeight="1" x14ac:dyDescent="0.2">
      <c r="A79" s="126"/>
      <c r="B79" s="35"/>
      <c r="C79" s="26"/>
      <c r="D79" s="553" t="s">
        <v>97</v>
      </c>
      <c r="E79" s="554">
        <v>499000</v>
      </c>
      <c r="F79" s="555">
        <f>SUM(F80:F80)</f>
        <v>0</v>
      </c>
      <c r="G79" s="555">
        <f>SUM(G80:G80)</f>
        <v>210000</v>
      </c>
      <c r="H79" s="554">
        <f t="shared" si="17"/>
        <v>289000</v>
      </c>
      <c r="I79" s="46"/>
      <c r="J79" s="47"/>
      <c r="K79" s="47"/>
    </row>
    <row r="80" spans="1:11" s="16" customFormat="1" ht="33.75" customHeight="1" x14ac:dyDescent="0.2">
      <c r="A80" s="119"/>
      <c r="B80" s="69"/>
      <c r="C80" s="55">
        <v>2110</v>
      </c>
      <c r="D80" s="62" t="s">
        <v>147</v>
      </c>
      <c r="E80" s="41">
        <v>499000</v>
      </c>
      <c r="F80" s="41"/>
      <c r="G80" s="41">
        <v>210000</v>
      </c>
      <c r="H80" s="41">
        <f>SUM(E80+F80-G80)</f>
        <v>289000</v>
      </c>
      <c r="I80" s="46"/>
      <c r="J80" s="47"/>
      <c r="K80" s="47"/>
    </row>
    <row r="81" spans="1:12" s="16" customFormat="1" ht="12" customHeight="1" x14ac:dyDescent="0.2">
      <c r="A81" s="119"/>
      <c r="B81" s="57">
        <v>71015</v>
      </c>
      <c r="C81" s="154"/>
      <c r="D81" s="68" t="s">
        <v>150</v>
      </c>
      <c r="E81" s="37">
        <v>937100</v>
      </c>
      <c r="F81" s="37">
        <f t="shared" ref="F81:G81" si="19">SUM(F82)</f>
        <v>9100</v>
      </c>
      <c r="G81" s="37">
        <f t="shared" si="19"/>
        <v>0</v>
      </c>
      <c r="H81" s="37">
        <f t="shared" si="17"/>
        <v>946200</v>
      </c>
      <c r="I81" s="46"/>
      <c r="J81" s="47"/>
      <c r="K81" s="47"/>
    </row>
    <row r="82" spans="1:12" s="16" customFormat="1" ht="12" customHeight="1" x14ac:dyDescent="0.2">
      <c r="A82" s="119"/>
      <c r="B82" s="35"/>
      <c r="C82" s="26"/>
      <c r="D82" s="553" t="s">
        <v>97</v>
      </c>
      <c r="E82" s="554">
        <v>937100</v>
      </c>
      <c r="F82" s="555">
        <f>SUM(F83:F83)</f>
        <v>9100</v>
      </c>
      <c r="G82" s="555">
        <f>SUM(G83:G83)</f>
        <v>0</v>
      </c>
      <c r="H82" s="554">
        <f t="shared" si="17"/>
        <v>946200</v>
      </c>
      <c r="I82" s="46"/>
      <c r="J82" s="47"/>
      <c r="K82" s="47"/>
    </row>
    <row r="83" spans="1:12" s="16" customFormat="1" ht="33" customHeight="1" x14ac:dyDescent="0.2">
      <c r="A83" s="119"/>
      <c r="B83" s="69"/>
      <c r="C83" s="55">
        <v>2110</v>
      </c>
      <c r="D83" s="62" t="s">
        <v>147</v>
      </c>
      <c r="E83" s="41">
        <v>937100</v>
      </c>
      <c r="F83" s="42">
        <v>9100</v>
      </c>
      <c r="G83" s="123"/>
      <c r="H83" s="41">
        <f t="shared" si="17"/>
        <v>946200</v>
      </c>
      <c r="I83" s="46"/>
      <c r="J83" s="47"/>
      <c r="K83" s="47"/>
    </row>
    <row r="84" spans="1:12" s="16" customFormat="1" ht="12" customHeight="1" x14ac:dyDescent="0.2">
      <c r="A84" s="119">
        <v>754</v>
      </c>
      <c r="B84" s="31"/>
      <c r="C84" s="32"/>
      <c r="D84" s="33" t="s">
        <v>151</v>
      </c>
      <c r="E84" s="124"/>
      <c r="F84" s="124"/>
      <c r="G84" s="124"/>
      <c r="H84" s="124"/>
      <c r="I84" s="46"/>
      <c r="J84" s="47"/>
      <c r="K84" s="47"/>
    </row>
    <row r="85" spans="1:12" s="16" customFormat="1" ht="12" customHeight="1" thickBot="1" x14ac:dyDescent="0.25">
      <c r="A85" s="119"/>
      <c r="B85" s="31"/>
      <c r="C85" s="32"/>
      <c r="D85" s="33" t="s">
        <v>101</v>
      </c>
      <c r="E85" s="30">
        <v>18102885.579999998</v>
      </c>
      <c r="F85" s="30">
        <f t="shared" ref="F85:G87" si="20">SUM(F86)</f>
        <v>226542</v>
      </c>
      <c r="G85" s="30">
        <f t="shared" si="20"/>
        <v>0</v>
      </c>
      <c r="H85" s="30">
        <f>SUM(E85+F85-G85)</f>
        <v>18329427.579999998</v>
      </c>
      <c r="I85" s="46"/>
      <c r="J85" s="47"/>
      <c r="K85" s="47"/>
    </row>
    <row r="86" spans="1:12" s="16" customFormat="1" ht="12" customHeight="1" thickTop="1" x14ac:dyDescent="0.2">
      <c r="A86" s="126"/>
      <c r="B86" s="35">
        <v>75411</v>
      </c>
      <c r="C86" s="26"/>
      <c r="D86" s="148" t="s">
        <v>152</v>
      </c>
      <c r="E86" s="37">
        <v>18102885.579999998</v>
      </c>
      <c r="F86" s="37">
        <f t="shared" si="20"/>
        <v>226542</v>
      </c>
      <c r="G86" s="37">
        <f t="shared" si="20"/>
        <v>0</v>
      </c>
      <c r="H86" s="37">
        <f>SUM(E86+F86-G86)</f>
        <v>18329427.579999998</v>
      </c>
      <c r="I86" s="46"/>
      <c r="J86" s="47"/>
      <c r="K86" s="47"/>
    </row>
    <row r="87" spans="1:12" s="16" customFormat="1" ht="12" customHeight="1" x14ac:dyDescent="0.2">
      <c r="A87" s="69"/>
      <c r="B87" s="35"/>
      <c r="C87" s="26"/>
      <c r="D87" s="553" t="s">
        <v>97</v>
      </c>
      <c r="E87" s="554">
        <v>18102885.579999998</v>
      </c>
      <c r="F87" s="555">
        <f t="shared" si="20"/>
        <v>226542</v>
      </c>
      <c r="G87" s="555">
        <f t="shared" si="20"/>
        <v>0</v>
      </c>
      <c r="H87" s="554">
        <f>SUM(E87+F87-G87)</f>
        <v>18329427.579999998</v>
      </c>
      <c r="I87" s="46"/>
      <c r="J87" s="47"/>
      <c r="K87" s="47"/>
    </row>
    <row r="88" spans="1:12" s="16" customFormat="1" ht="33" customHeight="1" x14ac:dyDescent="0.2">
      <c r="A88" s="31"/>
      <c r="B88" s="69"/>
      <c r="C88" s="55">
        <v>2110</v>
      </c>
      <c r="D88" s="62" t="s">
        <v>147</v>
      </c>
      <c r="E88" s="40">
        <v>18102885.579999998</v>
      </c>
      <c r="F88" s="41">
        <f>64178+162364</f>
        <v>226542</v>
      </c>
      <c r="G88" s="41"/>
      <c r="H88" s="40">
        <f t="shared" ref="H88" si="21">SUM(E88+F88-G88)</f>
        <v>18329427.579999998</v>
      </c>
      <c r="I88" s="46"/>
      <c r="J88" s="47"/>
      <c r="K88" s="47"/>
    </row>
    <row r="89" spans="1:12" s="16" customFormat="1" ht="20.25" customHeight="1" thickBot="1" x14ac:dyDescent="0.3">
      <c r="A89" s="35"/>
      <c r="B89" s="35"/>
      <c r="C89" s="26"/>
      <c r="D89" s="27" t="s">
        <v>12</v>
      </c>
      <c r="E89" s="28">
        <v>1042741402.5500004</v>
      </c>
      <c r="F89" s="28">
        <f>SUM(F90,F519,F562)</f>
        <v>7004827.5800000001</v>
      </c>
      <c r="G89" s="28">
        <f>SUM(G90,G519,G562)</f>
        <v>5308746.58</v>
      </c>
      <c r="H89" s="28">
        <f t="shared" si="13"/>
        <v>1044437483.5500004</v>
      </c>
      <c r="I89" s="46"/>
      <c r="J89" s="47"/>
      <c r="K89" s="52"/>
      <c r="L89" s="52"/>
    </row>
    <row r="90" spans="1:12" s="16" customFormat="1" ht="17.25" customHeight="1" thickBot="1" x14ac:dyDescent="0.3">
      <c r="A90" s="35"/>
      <c r="B90" s="35"/>
      <c r="C90" s="26"/>
      <c r="D90" s="29" t="s">
        <v>13</v>
      </c>
      <c r="E90" s="30">
        <v>973384644.35000038</v>
      </c>
      <c r="F90" s="30">
        <f>SUM(F91,F98,F102,F107,F112,F128,F145,F149,F362,F367,F425,F435,F474,F506)</f>
        <v>5711419.2800000003</v>
      </c>
      <c r="G90" s="30">
        <f>SUM(G91,G98,G102,G107,G112,G128,G145,G149,G362,G367,G425,G435,G474,G506)</f>
        <v>4218961.28</v>
      </c>
      <c r="H90" s="30">
        <f t="shared" si="13"/>
        <v>974877102.35000038</v>
      </c>
      <c r="I90" s="46"/>
      <c r="J90" s="47"/>
      <c r="K90" s="52"/>
      <c r="L90" s="52"/>
    </row>
    <row r="91" spans="1:12" s="16" customFormat="1" ht="15.75" customHeight="1" thickTop="1" thickBot="1" x14ac:dyDescent="0.25">
      <c r="A91" s="155" t="s">
        <v>153</v>
      </c>
      <c r="B91" s="156"/>
      <c r="C91" s="156"/>
      <c r="D91" s="157" t="s">
        <v>154</v>
      </c>
      <c r="E91" s="30">
        <v>122200</v>
      </c>
      <c r="F91" s="34">
        <f>SUM(F92)</f>
        <v>10400</v>
      </c>
      <c r="G91" s="34">
        <f>SUM(G92)</f>
        <v>10400</v>
      </c>
      <c r="H91" s="30">
        <f t="shared" ref="H91:H92" si="22">SUM(E91+F91-G91)</f>
        <v>122200</v>
      </c>
      <c r="I91" s="46"/>
      <c r="J91" s="139"/>
      <c r="K91" s="140"/>
      <c r="L91" s="140"/>
    </row>
    <row r="92" spans="1:12" s="16" customFormat="1" ht="12" customHeight="1" thickTop="1" x14ac:dyDescent="0.2">
      <c r="A92" s="155"/>
      <c r="B92" s="53" t="s">
        <v>155</v>
      </c>
      <c r="C92" s="156"/>
      <c r="D92" s="158" t="s">
        <v>156</v>
      </c>
      <c r="E92" s="37">
        <v>121700</v>
      </c>
      <c r="F92" s="37">
        <f>SUM(F93)</f>
        <v>10400</v>
      </c>
      <c r="G92" s="37">
        <f>SUM(G93)</f>
        <v>10400</v>
      </c>
      <c r="H92" s="37">
        <f t="shared" si="22"/>
        <v>121700</v>
      </c>
      <c r="I92" s="46"/>
      <c r="J92" s="47"/>
      <c r="K92" s="47"/>
      <c r="L92" s="140"/>
    </row>
    <row r="93" spans="1:12" s="16" customFormat="1" ht="12" customHeight="1" x14ac:dyDescent="0.2">
      <c r="A93" s="119"/>
      <c r="B93" s="35"/>
      <c r="C93" s="26"/>
      <c r="D93" s="556" t="s">
        <v>157</v>
      </c>
      <c r="E93" s="554">
        <v>121700</v>
      </c>
      <c r="F93" s="555">
        <f>SUM(F94:F97)</f>
        <v>10400</v>
      </c>
      <c r="G93" s="555">
        <f>SUM(G94:G97)</f>
        <v>10400</v>
      </c>
      <c r="H93" s="554">
        <f>SUM(E93+F93-G93)</f>
        <v>121700</v>
      </c>
      <c r="I93" s="46"/>
      <c r="J93" s="47"/>
      <c r="K93" s="47"/>
      <c r="L93" s="47"/>
    </row>
    <row r="94" spans="1:12" s="16" customFormat="1" ht="12" customHeight="1" x14ac:dyDescent="0.25">
      <c r="A94" s="31"/>
      <c r="B94" s="31"/>
      <c r="C94" s="53" t="s">
        <v>26</v>
      </c>
      <c r="D94" s="54" t="s">
        <v>27</v>
      </c>
      <c r="E94" s="43">
        <v>44000</v>
      </c>
      <c r="F94" s="40">
        <v>6000</v>
      </c>
      <c r="G94" s="40"/>
      <c r="H94" s="43">
        <f t="shared" ref="H94:H99" si="23">SUM(E94+F94-G94)</f>
        <v>50000</v>
      </c>
      <c r="I94" s="46"/>
      <c r="J94" s="47"/>
      <c r="K94" s="47"/>
      <c r="L94" s="52"/>
    </row>
    <row r="95" spans="1:12" s="16" customFormat="1" ht="12" customHeight="1" x14ac:dyDescent="0.25">
      <c r="A95" s="31"/>
      <c r="B95" s="31"/>
      <c r="C95" s="25">
        <v>4260</v>
      </c>
      <c r="D95" s="39" t="s">
        <v>29</v>
      </c>
      <c r="E95" s="43">
        <v>35000</v>
      </c>
      <c r="F95" s="40"/>
      <c r="G95" s="40">
        <v>10000</v>
      </c>
      <c r="H95" s="43">
        <f t="shared" si="23"/>
        <v>25000</v>
      </c>
      <c r="I95" s="46"/>
      <c r="J95" s="47"/>
      <c r="K95" s="47"/>
      <c r="L95" s="52"/>
    </row>
    <row r="96" spans="1:12" s="16" customFormat="1" ht="12" customHeight="1" x14ac:dyDescent="0.25">
      <c r="A96" s="31"/>
      <c r="B96" s="31"/>
      <c r="C96" s="25">
        <v>4300</v>
      </c>
      <c r="D96" s="39" t="s">
        <v>15</v>
      </c>
      <c r="E96" s="43">
        <v>22000</v>
      </c>
      <c r="F96" s="40">
        <v>4400</v>
      </c>
      <c r="G96" s="40"/>
      <c r="H96" s="43">
        <f t="shared" si="23"/>
        <v>26400</v>
      </c>
      <c r="I96" s="46"/>
      <c r="J96" s="47"/>
      <c r="K96" s="47"/>
      <c r="L96" s="52"/>
    </row>
    <row r="97" spans="1:12" s="16" customFormat="1" ht="12" customHeight="1" x14ac:dyDescent="0.25">
      <c r="A97" s="31"/>
      <c r="B97" s="31"/>
      <c r="C97" s="25">
        <v>4430</v>
      </c>
      <c r="D97" s="39" t="s">
        <v>34</v>
      </c>
      <c r="E97" s="43">
        <v>8500</v>
      </c>
      <c r="F97" s="40"/>
      <c r="G97" s="40">
        <v>400</v>
      </c>
      <c r="H97" s="43">
        <f t="shared" si="23"/>
        <v>8100</v>
      </c>
      <c r="I97" s="46"/>
      <c r="J97" s="47"/>
      <c r="K97" s="47"/>
      <c r="L97" s="52"/>
    </row>
    <row r="98" spans="1:12" s="16" customFormat="1" ht="12" customHeight="1" thickBot="1" x14ac:dyDescent="0.3">
      <c r="A98" s="119">
        <v>600</v>
      </c>
      <c r="B98" s="31"/>
      <c r="C98" s="32"/>
      <c r="D98" s="33" t="s">
        <v>158</v>
      </c>
      <c r="E98" s="30">
        <v>147542210.60999998</v>
      </c>
      <c r="F98" s="30">
        <f>SUM(F99)</f>
        <v>240000</v>
      </c>
      <c r="G98" s="30">
        <f>SUM(G99)</f>
        <v>0</v>
      </c>
      <c r="H98" s="30">
        <f t="shared" si="23"/>
        <v>147782210.60999998</v>
      </c>
      <c r="I98" s="46"/>
      <c r="J98" s="47"/>
      <c r="K98" s="47"/>
      <c r="L98" s="52"/>
    </row>
    <row r="99" spans="1:12" s="16" customFormat="1" ht="12" customHeight="1" thickTop="1" x14ac:dyDescent="0.25">
      <c r="A99" s="31"/>
      <c r="B99" s="35">
        <v>60019</v>
      </c>
      <c r="C99" s="26"/>
      <c r="D99" s="36" t="s">
        <v>159</v>
      </c>
      <c r="E99" s="66">
        <v>1209400</v>
      </c>
      <c r="F99" s="66">
        <f>SUM(F100)</f>
        <v>240000</v>
      </c>
      <c r="G99" s="66">
        <f>SUM(G100)</f>
        <v>0</v>
      </c>
      <c r="H99" s="37">
        <f t="shared" si="23"/>
        <v>1449400</v>
      </c>
      <c r="I99" s="46"/>
      <c r="J99" s="47"/>
      <c r="K99" s="47"/>
      <c r="L99" s="52"/>
    </row>
    <row r="100" spans="1:12" s="16" customFormat="1" ht="12" customHeight="1" x14ac:dyDescent="0.25">
      <c r="A100" s="31"/>
      <c r="B100" s="31"/>
      <c r="C100" s="26"/>
      <c r="D100" s="560" t="s">
        <v>160</v>
      </c>
      <c r="E100" s="557">
        <v>1209400</v>
      </c>
      <c r="F100" s="555">
        <f>SUM(F101:F101)</f>
        <v>240000</v>
      </c>
      <c r="G100" s="555">
        <f>SUM(G101:G101)</f>
        <v>0</v>
      </c>
      <c r="H100" s="554">
        <f>SUM(E100+F100-G100)</f>
        <v>1449400</v>
      </c>
      <c r="I100" s="46"/>
      <c r="J100" s="47"/>
      <c r="K100" s="47"/>
      <c r="L100" s="52"/>
    </row>
    <row r="101" spans="1:12" s="16" customFormat="1" ht="12" customHeight="1" x14ac:dyDescent="0.25">
      <c r="A101" s="31"/>
      <c r="B101" s="31"/>
      <c r="C101" s="35">
        <v>4300</v>
      </c>
      <c r="D101" s="39" t="s">
        <v>15</v>
      </c>
      <c r="E101" s="43">
        <v>1207300</v>
      </c>
      <c r="F101" s="43">
        <v>240000</v>
      </c>
      <c r="G101" s="43"/>
      <c r="H101" s="41">
        <f t="shared" ref="H101:H103" si="24">SUM(E101+F101-G101)</f>
        <v>1447300</v>
      </c>
      <c r="I101" s="46"/>
      <c r="J101" s="47"/>
      <c r="K101" s="47"/>
      <c r="L101" s="52"/>
    </row>
    <row r="102" spans="1:12" s="16" customFormat="1" ht="12" customHeight="1" thickBot="1" x14ac:dyDescent="0.3">
      <c r="A102" s="119">
        <v>700</v>
      </c>
      <c r="B102" s="119"/>
      <c r="C102" s="32"/>
      <c r="D102" s="33" t="s">
        <v>145</v>
      </c>
      <c r="E102" s="30">
        <v>66431028.120000005</v>
      </c>
      <c r="F102" s="34">
        <f>SUM(F103)</f>
        <v>4509.57</v>
      </c>
      <c r="G102" s="34">
        <f>SUM(G103)</f>
        <v>4509.57</v>
      </c>
      <c r="H102" s="30">
        <f t="shared" si="24"/>
        <v>66431028.120000005</v>
      </c>
      <c r="I102" s="46"/>
      <c r="J102" s="47"/>
      <c r="K102" s="47"/>
      <c r="L102" s="52"/>
    </row>
    <row r="103" spans="1:12" s="16" customFormat="1" ht="12" customHeight="1" thickTop="1" x14ac:dyDescent="0.25">
      <c r="A103" s="31"/>
      <c r="B103" s="57">
        <v>70007</v>
      </c>
      <c r="C103" s="159"/>
      <c r="D103" s="68" t="s">
        <v>161</v>
      </c>
      <c r="E103" s="37">
        <v>32066867</v>
      </c>
      <c r="F103" s="38">
        <f>SUM(F104)</f>
        <v>4509.57</v>
      </c>
      <c r="G103" s="38">
        <f>SUM(G104)</f>
        <v>4509.57</v>
      </c>
      <c r="H103" s="37">
        <f t="shared" si="24"/>
        <v>32066867</v>
      </c>
      <c r="I103" s="46"/>
      <c r="J103" s="47"/>
      <c r="K103" s="47"/>
      <c r="L103" s="52"/>
    </row>
    <row r="104" spans="1:12" s="16" customFormat="1" ht="12" customHeight="1" x14ac:dyDescent="0.25">
      <c r="A104" s="31"/>
      <c r="B104" s="25"/>
      <c r="C104" s="26"/>
      <c r="D104" s="561" t="s">
        <v>162</v>
      </c>
      <c r="E104" s="557">
        <v>31895467</v>
      </c>
      <c r="F104" s="555">
        <f>SUM(F105:F106)</f>
        <v>4509.57</v>
      </c>
      <c r="G104" s="555">
        <f>SUM(G105:G106)</f>
        <v>4509.57</v>
      </c>
      <c r="H104" s="554">
        <f>SUM(E104+F104-G104)</f>
        <v>31895467</v>
      </c>
      <c r="I104" s="46"/>
      <c r="J104" s="47"/>
      <c r="K104" s="47"/>
      <c r="L104" s="52"/>
    </row>
    <row r="105" spans="1:12" s="16" customFormat="1" ht="12" customHeight="1" x14ac:dyDescent="0.25">
      <c r="A105" s="31"/>
      <c r="B105" s="25"/>
      <c r="C105" s="25">
        <v>4440</v>
      </c>
      <c r="D105" s="39" t="s">
        <v>35</v>
      </c>
      <c r="E105" s="43">
        <v>72339</v>
      </c>
      <c r="F105" s="43">
        <v>4509.57</v>
      </c>
      <c r="G105" s="43"/>
      <c r="H105" s="41">
        <f t="shared" ref="H105:H106" si="25">SUM(E105+F105-G105)</f>
        <v>76848.570000000007</v>
      </c>
      <c r="I105" s="46"/>
      <c r="J105" s="47"/>
      <c r="K105" s="47"/>
      <c r="L105" s="52"/>
    </row>
    <row r="106" spans="1:12" s="16" customFormat="1" ht="12" customHeight="1" x14ac:dyDescent="0.25">
      <c r="A106" s="31"/>
      <c r="B106" s="25"/>
      <c r="C106" s="25">
        <v>4710</v>
      </c>
      <c r="D106" s="39" t="s">
        <v>37</v>
      </c>
      <c r="E106" s="43">
        <v>21165</v>
      </c>
      <c r="F106" s="43"/>
      <c r="G106" s="43">
        <v>4509.57</v>
      </c>
      <c r="H106" s="41">
        <f t="shared" si="25"/>
        <v>16655.43</v>
      </c>
      <c r="I106" s="46"/>
      <c r="J106" s="47"/>
      <c r="K106" s="47"/>
      <c r="L106" s="52"/>
    </row>
    <row r="107" spans="1:12" s="16" customFormat="1" ht="12" customHeight="1" thickBot="1" x14ac:dyDescent="0.25">
      <c r="A107" s="119">
        <v>710</v>
      </c>
      <c r="B107" s="31"/>
      <c r="C107" s="32"/>
      <c r="D107" s="33" t="s">
        <v>94</v>
      </c>
      <c r="E107" s="30">
        <v>3865500</v>
      </c>
      <c r="F107" s="34">
        <f>SUM(F108)</f>
        <v>20000</v>
      </c>
      <c r="G107" s="34">
        <f>SUM(G108)</f>
        <v>0</v>
      </c>
      <c r="H107" s="30">
        <f>SUM(E107+F107-G107)</f>
        <v>3885500</v>
      </c>
      <c r="I107" s="61"/>
      <c r="J107" s="47"/>
      <c r="K107" s="47"/>
      <c r="L107" s="47"/>
    </row>
    <row r="108" spans="1:12" s="16" customFormat="1" ht="12" customHeight="1" thickTop="1" x14ac:dyDescent="0.2">
      <c r="A108" s="20"/>
      <c r="B108" s="26" t="s">
        <v>95</v>
      </c>
      <c r="C108" s="120"/>
      <c r="D108" s="68" t="s">
        <v>163</v>
      </c>
      <c r="E108" s="37">
        <v>65000</v>
      </c>
      <c r="F108" s="38">
        <f>SUM(F110)</f>
        <v>20000</v>
      </c>
      <c r="G108" s="38">
        <f>SUM(G110)</f>
        <v>0</v>
      </c>
      <c r="H108" s="37">
        <f>SUM(E108+F108-G108)</f>
        <v>85000</v>
      </c>
      <c r="I108" s="59"/>
      <c r="J108" s="47"/>
      <c r="K108" s="47"/>
      <c r="L108" s="47"/>
    </row>
    <row r="109" spans="1:12" s="16" customFormat="1" ht="12" customHeight="1" x14ac:dyDescent="0.2">
      <c r="A109" s="119"/>
      <c r="B109" s="31"/>
      <c r="C109" s="25"/>
      <c r="D109" s="54" t="s">
        <v>164</v>
      </c>
      <c r="E109" s="40"/>
      <c r="F109" s="42"/>
      <c r="G109" s="42"/>
      <c r="H109" s="41"/>
      <c r="I109" s="61"/>
      <c r="J109" s="47"/>
      <c r="K109" s="47"/>
      <c r="L109" s="47"/>
    </row>
    <row r="110" spans="1:12" s="16" customFormat="1" ht="12" customHeight="1" x14ac:dyDescent="0.2">
      <c r="A110" s="119"/>
      <c r="B110" s="31"/>
      <c r="C110" s="57"/>
      <c r="D110" s="561" t="s">
        <v>165</v>
      </c>
      <c r="E110" s="557">
        <v>65000</v>
      </c>
      <c r="F110" s="555">
        <f>SUM(F111:F111)</f>
        <v>20000</v>
      </c>
      <c r="G110" s="555">
        <f>SUM(G111:G111)</f>
        <v>0</v>
      </c>
      <c r="H110" s="554">
        <f>SUM(E110+F110-G110)</f>
        <v>85000</v>
      </c>
      <c r="I110" s="61"/>
      <c r="J110" s="47"/>
      <c r="K110" s="47"/>
      <c r="L110" s="47"/>
    </row>
    <row r="111" spans="1:12" s="16" customFormat="1" ht="12" customHeight="1" x14ac:dyDescent="0.2">
      <c r="A111" s="119"/>
      <c r="B111" s="31"/>
      <c r="C111" s="25">
        <v>4270</v>
      </c>
      <c r="D111" s="39" t="s">
        <v>30</v>
      </c>
      <c r="E111" s="43">
        <v>65000</v>
      </c>
      <c r="F111" s="40">
        <v>20000</v>
      </c>
      <c r="G111" s="40"/>
      <c r="H111" s="41">
        <f t="shared" ref="H111:H116" si="26">SUM(E111+F111-G111)</f>
        <v>85000</v>
      </c>
      <c r="I111" s="61"/>
      <c r="J111" s="47"/>
      <c r="K111" s="47"/>
      <c r="L111" s="47"/>
    </row>
    <row r="112" spans="1:12" s="16" customFormat="1" ht="12" customHeight="1" thickBot="1" x14ac:dyDescent="0.25">
      <c r="A112" s="119">
        <v>750</v>
      </c>
      <c r="B112" s="119"/>
      <c r="C112" s="32"/>
      <c r="D112" s="33" t="s">
        <v>166</v>
      </c>
      <c r="E112" s="30">
        <v>69923875.859999999</v>
      </c>
      <c r="F112" s="34">
        <f>SUM(F113,F117,F123)</f>
        <v>308654.51</v>
      </c>
      <c r="G112" s="34">
        <f>SUM(G113,G117,G123)</f>
        <v>308654.51</v>
      </c>
      <c r="H112" s="160">
        <f t="shared" si="26"/>
        <v>69923875.859999999</v>
      </c>
      <c r="I112" s="59"/>
      <c r="J112" s="47"/>
      <c r="K112" s="47"/>
      <c r="L112" s="47"/>
    </row>
    <row r="113" spans="1:12" s="16" customFormat="1" ht="12" customHeight="1" thickTop="1" x14ac:dyDescent="0.2">
      <c r="A113" s="119"/>
      <c r="B113" s="26" t="s">
        <v>167</v>
      </c>
      <c r="C113" s="25"/>
      <c r="D113" s="36" t="s">
        <v>168</v>
      </c>
      <c r="E113" s="37">
        <v>6875698</v>
      </c>
      <c r="F113" s="37">
        <f>SUM(F114)</f>
        <v>2654.51</v>
      </c>
      <c r="G113" s="37">
        <f>SUM(G114)</f>
        <v>2654.51</v>
      </c>
      <c r="H113" s="37">
        <f t="shared" si="26"/>
        <v>6875698</v>
      </c>
      <c r="I113" s="61"/>
      <c r="J113" s="47"/>
      <c r="K113" s="47"/>
      <c r="L113" s="47"/>
    </row>
    <row r="114" spans="1:12" s="16" customFormat="1" ht="12" customHeight="1" x14ac:dyDescent="0.2">
      <c r="A114" s="119"/>
      <c r="B114" s="25"/>
      <c r="C114" s="25"/>
      <c r="D114" s="560" t="s">
        <v>169</v>
      </c>
      <c r="E114" s="554">
        <v>1013000</v>
      </c>
      <c r="F114" s="557">
        <f>SUM(F115:F116)</f>
        <v>2654.51</v>
      </c>
      <c r="G114" s="557">
        <f>SUM(G115:G116)</f>
        <v>2654.51</v>
      </c>
      <c r="H114" s="557">
        <f t="shared" si="26"/>
        <v>1013000</v>
      </c>
      <c r="I114" s="61"/>
      <c r="J114" s="47"/>
      <c r="K114" s="47"/>
      <c r="L114" s="47"/>
    </row>
    <row r="115" spans="1:12" s="16" customFormat="1" ht="12" customHeight="1" x14ac:dyDescent="0.2">
      <c r="A115" s="119"/>
      <c r="B115" s="25"/>
      <c r="C115" s="53" t="s">
        <v>26</v>
      </c>
      <c r="D115" s="54" t="s">
        <v>27</v>
      </c>
      <c r="E115" s="42">
        <v>25000</v>
      </c>
      <c r="F115" s="42"/>
      <c r="G115" s="42">
        <v>2654.51</v>
      </c>
      <c r="H115" s="42">
        <f t="shared" si="26"/>
        <v>22345.489999999998</v>
      </c>
      <c r="I115" s="61"/>
      <c r="J115" s="47"/>
      <c r="K115" s="47"/>
      <c r="L115" s="47"/>
    </row>
    <row r="116" spans="1:12" s="16" customFormat="1" ht="12" customHeight="1" x14ac:dyDescent="0.2">
      <c r="A116" s="119"/>
      <c r="B116" s="25"/>
      <c r="C116" s="25">
        <v>4380</v>
      </c>
      <c r="D116" s="54" t="s">
        <v>170</v>
      </c>
      <c r="E116" s="42">
        <v>4600</v>
      </c>
      <c r="F116" s="42">
        <v>2654.51</v>
      </c>
      <c r="G116" s="42"/>
      <c r="H116" s="42">
        <f t="shared" si="26"/>
        <v>7254.51</v>
      </c>
      <c r="I116" s="61"/>
      <c r="J116" s="47"/>
      <c r="K116" s="47"/>
      <c r="L116" s="47"/>
    </row>
    <row r="117" spans="1:12" s="16" customFormat="1" ht="12" customHeight="1" x14ac:dyDescent="0.2">
      <c r="A117" s="119"/>
      <c r="B117" s="26" t="s">
        <v>171</v>
      </c>
      <c r="C117" s="25"/>
      <c r="D117" s="36" t="s">
        <v>172</v>
      </c>
      <c r="E117" s="37">
        <v>36039252.710000001</v>
      </c>
      <c r="F117" s="38">
        <f>SUM(F118)</f>
        <v>266000</v>
      </c>
      <c r="G117" s="38">
        <f>SUM(G118)</f>
        <v>266000</v>
      </c>
      <c r="H117" s="37">
        <f>SUM(E117+F117-G117)</f>
        <v>36039252.710000001</v>
      </c>
      <c r="I117" s="59"/>
      <c r="J117" s="47"/>
      <c r="K117" s="47"/>
      <c r="L117" s="47"/>
    </row>
    <row r="118" spans="1:12" s="16" customFormat="1" ht="12" customHeight="1" x14ac:dyDescent="0.2">
      <c r="A118" s="119"/>
      <c r="B118" s="26"/>
      <c r="C118" s="25"/>
      <c r="D118" s="560" t="s">
        <v>173</v>
      </c>
      <c r="E118" s="554">
        <v>31096413</v>
      </c>
      <c r="F118" s="557">
        <f>SUM(F119:F122)</f>
        <v>266000</v>
      </c>
      <c r="G118" s="557">
        <f>SUM(G119:G122)</f>
        <v>266000</v>
      </c>
      <c r="H118" s="557">
        <f t="shared" ref="H118:H123" si="27">SUM(E118+F118-G118)</f>
        <v>31096413</v>
      </c>
      <c r="I118" s="59"/>
      <c r="J118" s="47"/>
      <c r="K118" s="47"/>
      <c r="L118" s="47"/>
    </row>
    <row r="119" spans="1:12" s="16" customFormat="1" ht="12" customHeight="1" x14ac:dyDescent="0.2">
      <c r="A119" s="119"/>
      <c r="B119" s="26"/>
      <c r="C119" s="25">
        <v>4170</v>
      </c>
      <c r="D119" s="39" t="s">
        <v>25</v>
      </c>
      <c r="E119" s="43">
        <v>184224</v>
      </c>
      <c r="F119" s="40">
        <v>16000</v>
      </c>
      <c r="G119" s="40"/>
      <c r="H119" s="41">
        <f t="shared" si="27"/>
        <v>200224</v>
      </c>
      <c r="I119" s="59"/>
      <c r="J119" s="47"/>
      <c r="K119" s="47"/>
      <c r="L119" s="47"/>
    </row>
    <row r="120" spans="1:12" s="16" customFormat="1" ht="12" customHeight="1" x14ac:dyDescent="0.2">
      <c r="A120" s="119"/>
      <c r="B120" s="26"/>
      <c r="C120" s="53" t="s">
        <v>26</v>
      </c>
      <c r="D120" s="54" t="s">
        <v>27</v>
      </c>
      <c r="E120" s="43">
        <v>1376100</v>
      </c>
      <c r="F120" s="40"/>
      <c r="G120" s="40">
        <v>266000</v>
      </c>
      <c r="H120" s="41">
        <f t="shared" si="27"/>
        <v>1110100</v>
      </c>
      <c r="I120" s="59"/>
      <c r="J120" s="47"/>
      <c r="K120" s="47"/>
      <c r="L120" s="47"/>
    </row>
    <row r="121" spans="1:12" s="16" customFormat="1" ht="12" customHeight="1" x14ac:dyDescent="0.2">
      <c r="A121" s="119"/>
      <c r="B121" s="26"/>
      <c r="C121" s="25">
        <v>4260</v>
      </c>
      <c r="D121" s="39" t="s">
        <v>29</v>
      </c>
      <c r="E121" s="43">
        <v>1115000</v>
      </c>
      <c r="F121" s="40">
        <v>100000</v>
      </c>
      <c r="G121" s="40"/>
      <c r="H121" s="41">
        <f t="shared" si="27"/>
        <v>1215000</v>
      </c>
      <c r="I121" s="59"/>
      <c r="J121" s="47"/>
      <c r="K121" s="47"/>
      <c r="L121" s="47"/>
    </row>
    <row r="122" spans="1:12" s="16" customFormat="1" ht="12" customHeight="1" x14ac:dyDescent="0.2">
      <c r="A122" s="119"/>
      <c r="B122" s="26"/>
      <c r="C122" s="25">
        <v>4300</v>
      </c>
      <c r="D122" s="39" t="s">
        <v>15</v>
      </c>
      <c r="E122" s="43">
        <v>1001442</v>
      </c>
      <c r="F122" s="43">
        <v>150000</v>
      </c>
      <c r="G122" s="43"/>
      <c r="H122" s="42">
        <f t="shared" si="27"/>
        <v>1151442</v>
      </c>
      <c r="I122" s="61"/>
      <c r="J122" s="47"/>
      <c r="K122" s="47"/>
      <c r="L122" s="47"/>
    </row>
    <row r="123" spans="1:12" s="16" customFormat="1" ht="12" customHeight="1" x14ac:dyDescent="0.2">
      <c r="A123" s="119"/>
      <c r="B123" s="57">
        <v>75095</v>
      </c>
      <c r="C123" s="57"/>
      <c r="D123" s="125" t="s">
        <v>14</v>
      </c>
      <c r="E123" s="37">
        <v>17012500.080000002</v>
      </c>
      <c r="F123" s="38">
        <f>SUM(F124)</f>
        <v>40000</v>
      </c>
      <c r="G123" s="38">
        <f>SUM(G124)</f>
        <v>40000</v>
      </c>
      <c r="H123" s="37">
        <f t="shared" si="27"/>
        <v>17012500.080000002</v>
      </c>
      <c r="I123" s="61"/>
      <c r="J123" s="47"/>
      <c r="K123" s="47"/>
      <c r="L123" s="47"/>
    </row>
    <row r="124" spans="1:12" s="16" customFormat="1" ht="12" customHeight="1" x14ac:dyDescent="0.2">
      <c r="A124" s="119"/>
      <c r="B124" s="57"/>
      <c r="C124" s="25"/>
      <c r="D124" s="556" t="s">
        <v>174</v>
      </c>
      <c r="E124" s="554">
        <v>4356690.8900000006</v>
      </c>
      <c r="F124" s="554">
        <f>SUM(F125:F126)</f>
        <v>40000</v>
      </c>
      <c r="G124" s="554">
        <f>SUM(G125:G126)</f>
        <v>40000</v>
      </c>
      <c r="H124" s="554">
        <f>SUM(E124+F124-G124)</f>
        <v>4356690.8900000006</v>
      </c>
      <c r="I124" s="61"/>
      <c r="J124" s="47"/>
      <c r="K124" s="47"/>
      <c r="L124" s="47"/>
    </row>
    <row r="125" spans="1:12" s="16" customFormat="1" ht="12" customHeight="1" x14ac:dyDescent="0.2">
      <c r="A125" s="119"/>
      <c r="B125" s="57"/>
      <c r="C125" s="25">
        <v>4300</v>
      </c>
      <c r="D125" s="39" t="s">
        <v>15</v>
      </c>
      <c r="E125" s="43">
        <v>80000</v>
      </c>
      <c r="F125" s="43"/>
      <c r="G125" s="43">
        <v>40000</v>
      </c>
      <c r="H125" s="43">
        <f t="shared" ref="H125:H126" si="28">SUM(E125+F125-G125)</f>
        <v>40000</v>
      </c>
      <c r="I125" s="61"/>
      <c r="J125" s="47"/>
      <c r="K125" s="47"/>
      <c r="L125" s="47"/>
    </row>
    <row r="126" spans="1:12" s="16" customFormat="1" ht="22.5" customHeight="1" x14ac:dyDescent="0.2">
      <c r="A126" s="161"/>
      <c r="B126" s="162"/>
      <c r="C126" s="150">
        <v>4390</v>
      </c>
      <c r="D126" s="151" t="s">
        <v>175</v>
      </c>
      <c r="E126" s="66">
        <v>125000</v>
      </c>
      <c r="F126" s="66">
        <v>40000</v>
      </c>
      <c r="G126" s="66"/>
      <c r="H126" s="66">
        <f t="shared" si="28"/>
        <v>165000</v>
      </c>
      <c r="I126" s="61"/>
      <c r="J126" s="47"/>
      <c r="K126" s="47"/>
      <c r="L126" s="47"/>
    </row>
    <row r="127" spans="1:12" s="16" customFormat="1" ht="12" customHeight="1" x14ac:dyDescent="0.2">
      <c r="A127" s="163">
        <v>754</v>
      </c>
      <c r="B127" s="164"/>
      <c r="C127" s="165"/>
      <c r="D127" s="166" t="s">
        <v>100</v>
      </c>
      <c r="E127" s="40"/>
      <c r="F127" s="43"/>
      <c r="G127" s="43"/>
      <c r="H127" s="41"/>
      <c r="I127" s="61"/>
      <c r="J127" s="47"/>
      <c r="K127" s="47"/>
      <c r="L127" s="47"/>
    </row>
    <row r="128" spans="1:12" s="16" customFormat="1" ht="12" customHeight="1" thickBot="1" x14ac:dyDescent="0.25">
      <c r="A128" s="163"/>
      <c r="B128" s="164"/>
      <c r="C128" s="165"/>
      <c r="D128" s="166" t="s">
        <v>101</v>
      </c>
      <c r="E128" s="30">
        <v>6152028.0499999998</v>
      </c>
      <c r="F128" s="34">
        <f>SUM(F129,F133)</f>
        <v>136481</v>
      </c>
      <c r="G128" s="34">
        <f>SUM(G133)</f>
        <v>36481</v>
      </c>
      <c r="H128" s="30">
        <f>SUM(E128+F128-G128)</f>
        <v>6252028.0499999998</v>
      </c>
      <c r="I128" s="59"/>
      <c r="J128" s="47"/>
      <c r="K128" s="47"/>
      <c r="L128" s="47"/>
    </row>
    <row r="129" spans="1:12" s="16" customFormat="1" ht="12" customHeight="1" thickTop="1" x14ac:dyDescent="0.2">
      <c r="A129" s="163"/>
      <c r="B129" s="70">
        <v>75411</v>
      </c>
      <c r="C129" s="57"/>
      <c r="D129" s="125" t="s">
        <v>102</v>
      </c>
      <c r="E129" s="37">
        <v>0</v>
      </c>
      <c r="F129" s="38">
        <f>SUM(F130)</f>
        <v>100000</v>
      </c>
      <c r="G129" s="38">
        <f>SUM(G130)</f>
        <v>0</v>
      </c>
      <c r="H129" s="37">
        <f>SUM(E129+F129-G129)</f>
        <v>100000</v>
      </c>
      <c r="I129" s="61"/>
      <c r="J129" s="47"/>
      <c r="K129" s="47"/>
      <c r="L129" s="47"/>
    </row>
    <row r="130" spans="1:12" s="16" customFormat="1" ht="12" customHeight="1" x14ac:dyDescent="0.2">
      <c r="A130" s="163"/>
      <c r="B130" s="159"/>
      <c r="C130" s="159"/>
      <c r="D130" s="562" t="s">
        <v>176</v>
      </c>
      <c r="E130" s="557">
        <v>0</v>
      </c>
      <c r="F130" s="555">
        <f>SUM(F131:F132)</f>
        <v>100000</v>
      </c>
      <c r="G130" s="555">
        <f>SUM(G131:G132)</f>
        <v>0</v>
      </c>
      <c r="H130" s="554">
        <f>SUM(E130+F130-G130)</f>
        <v>100000</v>
      </c>
      <c r="I130" s="61"/>
      <c r="J130" s="47"/>
      <c r="K130" s="47"/>
      <c r="L130" s="47"/>
    </row>
    <row r="131" spans="1:12" s="16" customFormat="1" ht="12" customHeight="1" x14ac:dyDescent="0.2">
      <c r="A131" s="163"/>
      <c r="B131" s="159"/>
      <c r="C131" s="53" t="s">
        <v>26</v>
      </c>
      <c r="D131" s="54" t="s">
        <v>27</v>
      </c>
      <c r="E131" s="43">
        <v>0</v>
      </c>
      <c r="F131" s="40">
        <v>21000</v>
      </c>
      <c r="G131" s="40"/>
      <c r="H131" s="41">
        <f t="shared" ref="H131:H132" si="29">SUM(E131+F131-G131)</f>
        <v>21000</v>
      </c>
      <c r="I131" s="61"/>
      <c r="J131" s="47"/>
      <c r="K131" s="47"/>
      <c r="L131" s="47"/>
    </row>
    <row r="132" spans="1:12" s="16" customFormat="1" ht="12" customHeight="1" x14ac:dyDescent="0.2">
      <c r="A132" s="163"/>
      <c r="B132" s="26"/>
      <c r="C132" s="55">
        <v>6060</v>
      </c>
      <c r="D132" s="167" t="s">
        <v>177</v>
      </c>
      <c r="E132" s="168">
        <v>0</v>
      </c>
      <c r="F132" s="168">
        <v>79000</v>
      </c>
      <c r="G132" s="168"/>
      <c r="H132" s="41">
        <f t="shared" si="29"/>
        <v>79000</v>
      </c>
      <c r="I132" s="61"/>
      <c r="J132" s="47"/>
      <c r="K132" s="47"/>
      <c r="L132" s="47"/>
    </row>
    <row r="133" spans="1:12" s="16" customFormat="1" ht="12" customHeight="1" x14ac:dyDescent="0.2">
      <c r="A133" s="163"/>
      <c r="B133" s="70">
        <v>75416</v>
      </c>
      <c r="C133" s="57"/>
      <c r="D133" s="125" t="s">
        <v>178</v>
      </c>
      <c r="E133" s="37">
        <v>5791938</v>
      </c>
      <c r="F133" s="38">
        <f>SUM(F134,F141)</f>
        <v>36481</v>
      </c>
      <c r="G133" s="38">
        <f>SUM(G134,G141)</f>
        <v>36481</v>
      </c>
      <c r="H133" s="37">
        <f>SUM(E133+F133-G133)</f>
        <v>5791938</v>
      </c>
      <c r="I133" s="59"/>
      <c r="J133" s="47"/>
      <c r="K133" s="47"/>
      <c r="L133" s="47"/>
    </row>
    <row r="134" spans="1:12" s="16" customFormat="1" ht="12" customHeight="1" x14ac:dyDescent="0.2">
      <c r="A134" s="163"/>
      <c r="B134" s="70"/>
      <c r="C134" s="57"/>
      <c r="D134" s="563" t="s">
        <v>179</v>
      </c>
      <c r="E134" s="557">
        <v>4744979</v>
      </c>
      <c r="F134" s="555">
        <f>SUM(F135:F140)</f>
        <v>34981</v>
      </c>
      <c r="G134" s="555">
        <f>SUM(G135:G140)</f>
        <v>34500</v>
      </c>
      <c r="H134" s="554">
        <f>SUM(E134+F134-G134)</f>
        <v>4745460</v>
      </c>
      <c r="I134" s="61"/>
      <c r="J134" s="47"/>
      <c r="K134" s="47"/>
      <c r="L134" s="47"/>
    </row>
    <row r="135" spans="1:12" s="16" customFormat="1" ht="12" customHeight="1" x14ac:dyDescent="0.2">
      <c r="A135" s="163"/>
      <c r="B135" s="70"/>
      <c r="C135" s="25">
        <v>3020</v>
      </c>
      <c r="D135" s="39" t="s">
        <v>20</v>
      </c>
      <c r="E135" s="43">
        <v>123266</v>
      </c>
      <c r="F135" s="40">
        <v>22000</v>
      </c>
      <c r="G135" s="40"/>
      <c r="H135" s="43">
        <f t="shared" ref="H135:H144" si="30">SUM(E135+F135-G135)</f>
        <v>145266</v>
      </c>
      <c r="I135" s="61"/>
      <c r="J135" s="47"/>
      <c r="K135" s="47"/>
      <c r="L135" s="47"/>
    </row>
    <row r="136" spans="1:12" s="16" customFormat="1" ht="12" customHeight="1" x14ac:dyDescent="0.2">
      <c r="A136" s="163"/>
      <c r="B136" s="70"/>
      <c r="C136" s="25">
        <v>4110</v>
      </c>
      <c r="D136" s="39" t="s">
        <v>23</v>
      </c>
      <c r="E136" s="43">
        <v>588202</v>
      </c>
      <c r="F136" s="40"/>
      <c r="G136" s="40">
        <v>29000</v>
      </c>
      <c r="H136" s="43">
        <f t="shared" si="30"/>
        <v>559202</v>
      </c>
      <c r="I136" s="61"/>
      <c r="J136" s="47"/>
      <c r="K136" s="47"/>
      <c r="L136" s="47"/>
    </row>
    <row r="137" spans="1:12" s="16" customFormat="1" ht="12" customHeight="1" x14ac:dyDescent="0.2">
      <c r="A137" s="163"/>
      <c r="B137" s="26"/>
      <c r="C137" s="25">
        <v>4120</v>
      </c>
      <c r="D137" s="39" t="s">
        <v>24</v>
      </c>
      <c r="E137" s="168">
        <v>78461</v>
      </c>
      <c r="F137" s="168"/>
      <c r="G137" s="168">
        <v>5500</v>
      </c>
      <c r="H137" s="41">
        <f t="shared" si="30"/>
        <v>72961</v>
      </c>
      <c r="I137" s="61"/>
      <c r="J137" s="47"/>
      <c r="K137" s="47"/>
      <c r="L137" s="47"/>
    </row>
    <row r="138" spans="1:12" s="16" customFormat="1" ht="12" customHeight="1" x14ac:dyDescent="0.2">
      <c r="A138" s="163"/>
      <c r="B138" s="26"/>
      <c r="C138" s="25">
        <v>4280</v>
      </c>
      <c r="D138" s="39" t="s">
        <v>31</v>
      </c>
      <c r="E138" s="168">
        <v>7600</v>
      </c>
      <c r="F138" s="168">
        <v>3500</v>
      </c>
      <c r="G138" s="168"/>
      <c r="H138" s="41">
        <f t="shared" si="30"/>
        <v>11100</v>
      </c>
      <c r="I138" s="61"/>
      <c r="J138" s="47"/>
      <c r="K138" s="47"/>
      <c r="L138" s="47"/>
    </row>
    <row r="139" spans="1:12" s="16" customFormat="1" ht="12" customHeight="1" x14ac:dyDescent="0.2">
      <c r="A139" s="163"/>
      <c r="B139" s="164"/>
      <c r="C139" s="25">
        <v>4440</v>
      </c>
      <c r="D139" s="39" t="s">
        <v>35</v>
      </c>
      <c r="E139" s="43">
        <v>97561</v>
      </c>
      <c r="F139" s="40">
        <v>422</v>
      </c>
      <c r="G139" s="40"/>
      <c r="H139" s="41">
        <f t="shared" si="30"/>
        <v>97983</v>
      </c>
      <c r="I139" s="61"/>
      <c r="J139" s="47"/>
      <c r="K139" s="47"/>
      <c r="L139" s="47"/>
    </row>
    <row r="140" spans="1:12" s="16" customFormat="1" ht="21.75" customHeight="1" x14ac:dyDescent="0.2">
      <c r="A140" s="163"/>
      <c r="B140" s="164"/>
      <c r="C140" s="55">
        <v>4700</v>
      </c>
      <c r="D140" s="71" t="s">
        <v>36</v>
      </c>
      <c r="E140" s="43">
        <v>27075</v>
      </c>
      <c r="F140" s="40">
        <f>9000+59</f>
        <v>9059</v>
      </c>
      <c r="G140" s="40"/>
      <c r="H140" s="41">
        <f t="shared" si="30"/>
        <v>36134</v>
      </c>
      <c r="I140" s="61"/>
      <c r="J140" s="47"/>
      <c r="K140" s="47"/>
      <c r="L140" s="47"/>
    </row>
    <row r="141" spans="1:12" s="16" customFormat="1" ht="12" customHeight="1" x14ac:dyDescent="0.2">
      <c r="A141" s="163"/>
      <c r="B141" s="70"/>
      <c r="C141" s="57"/>
      <c r="D141" s="564" t="s">
        <v>180</v>
      </c>
      <c r="E141" s="554">
        <v>1046959</v>
      </c>
      <c r="F141" s="555">
        <f>SUM(F142:F144)</f>
        <v>1500</v>
      </c>
      <c r="G141" s="555">
        <f>SUM(G142:G144)</f>
        <v>1981</v>
      </c>
      <c r="H141" s="557">
        <f>SUM(E141+F141-G141)</f>
        <v>1046478</v>
      </c>
      <c r="I141" s="61"/>
      <c r="J141" s="47"/>
      <c r="K141" s="47"/>
      <c r="L141" s="47"/>
    </row>
    <row r="142" spans="1:12" s="16" customFormat="1" ht="12" customHeight="1" x14ac:dyDescent="0.2">
      <c r="A142" s="163"/>
      <c r="B142" s="70"/>
      <c r="C142" s="25">
        <v>4270</v>
      </c>
      <c r="D142" s="39" t="s">
        <v>30</v>
      </c>
      <c r="E142" s="43">
        <v>36100</v>
      </c>
      <c r="F142" s="40"/>
      <c r="G142" s="40">
        <v>1500</v>
      </c>
      <c r="H142" s="43">
        <f t="shared" si="30"/>
        <v>34600</v>
      </c>
      <c r="I142" s="61"/>
      <c r="J142" s="47"/>
      <c r="K142" s="47"/>
      <c r="L142" s="47"/>
    </row>
    <row r="143" spans="1:12" s="16" customFormat="1" ht="12" customHeight="1" x14ac:dyDescent="0.2">
      <c r="A143" s="163"/>
      <c r="B143" s="164"/>
      <c r="C143" s="169">
        <v>4360</v>
      </c>
      <c r="D143" s="170" t="s">
        <v>32</v>
      </c>
      <c r="E143" s="43">
        <v>19356</v>
      </c>
      <c r="F143" s="40">
        <v>1500</v>
      </c>
      <c r="G143" s="40"/>
      <c r="H143" s="41">
        <f t="shared" si="30"/>
        <v>20856</v>
      </c>
      <c r="I143" s="61"/>
      <c r="J143" s="47"/>
      <c r="K143" s="47"/>
      <c r="L143" s="47"/>
    </row>
    <row r="144" spans="1:12" s="16" customFormat="1" ht="12" customHeight="1" x14ac:dyDescent="0.2">
      <c r="A144" s="163"/>
      <c r="B144" s="164"/>
      <c r="C144" s="25">
        <v>4440</v>
      </c>
      <c r="D144" s="39" t="s">
        <v>35</v>
      </c>
      <c r="E144" s="43">
        <v>20510</v>
      </c>
      <c r="F144" s="40"/>
      <c r="G144" s="40">
        <v>481</v>
      </c>
      <c r="H144" s="41">
        <f t="shared" si="30"/>
        <v>20029</v>
      </c>
      <c r="I144" s="61"/>
      <c r="J144" s="47"/>
      <c r="K144" s="47"/>
      <c r="L144" s="47"/>
    </row>
    <row r="145" spans="1:12" s="16" customFormat="1" ht="12" customHeight="1" thickBot="1" x14ac:dyDescent="0.25">
      <c r="A145" s="31">
        <v>758</v>
      </c>
      <c r="B145" s="31"/>
      <c r="C145" s="32"/>
      <c r="D145" s="33" t="s">
        <v>107</v>
      </c>
      <c r="E145" s="30">
        <v>16622920</v>
      </c>
      <c r="F145" s="34">
        <f>SUM(F146)</f>
        <v>0</v>
      </c>
      <c r="G145" s="34">
        <f>SUM(G146)</f>
        <v>240000</v>
      </c>
      <c r="H145" s="30">
        <f>SUM(E145+F145-G145)</f>
        <v>16382920</v>
      </c>
      <c r="I145" s="61"/>
      <c r="J145" s="47"/>
      <c r="K145" s="47"/>
      <c r="L145" s="47"/>
    </row>
    <row r="146" spans="1:12" s="16" customFormat="1" ht="12" customHeight="1" thickTop="1" x14ac:dyDescent="0.2">
      <c r="A146" s="69"/>
      <c r="B146" s="35">
        <v>75818</v>
      </c>
      <c r="C146" s="26"/>
      <c r="D146" s="148" t="s">
        <v>181</v>
      </c>
      <c r="E146" s="37">
        <v>16622920</v>
      </c>
      <c r="F146" s="38">
        <f>SUM(F147)</f>
        <v>0</v>
      </c>
      <c r="G146" s="38">
        <f>SUM(G147)</f>
        <v>240000</v>
      </c>
      <c r="H146" s="37">
        <f>SUM(E146+F146-G146)</f>
        <v>16382920</v>
      </c>
      <c r="I146" s="61"/>
      <c r="J146" s="47"/>
      <c r="K146" s="47"/>
      <c r="L146" s="47"/>
    </row>
    <row r="147" spans="1:12" s="16" customFormat="1" ht="12" customHeight="1" x14ac:dyDescent="0.2">
      <c r="A147" s="69"/>
      <c r="B147" s="35"/>
      <c r="C147" s="26" t="s">
        <v>182</v>
      </c>
      <c r="D147" s="136" t="s">
        <v>183</v>
      </c>
      <c r="E147" s="171">
        <v>16502920</v>
      </c>
      <c r="F147" s="171">
        <f>SUM(F148:F148)</f>
        <v>0</v>
      </c>
      <c r="G147" s="171">
        <f>SUM(G148:G148)</f>
        <v>240000</v>
      </c>
      <c r="H147" s="171">
        <f>SUM(E147+F147-G147)</f>
        <v>16262920</v>
      </c>
      <c r="I147" s="61"/>
      <c r="J147" s="47"/>
      <c r="K147" s="47"/>
      <c r="L147" s="47"/>
    </row>
    <row r="148" spans="1:12" s="16" customFormat="1" ht="12" customHeight="1" x14ac:dyDescent="0.2">
      <c r="A148" s="69"/>
      <c r="B148" s="35"/>
      <c r="C148" s="26"/>
      <c r="D148" s="54" t="s">
        <v>184</v>
      </c>
      <c r="E148" s="43">
        <v>1028780</v>
      </c>
      <c r="F148" s="43"/>
      <c r="G148" s="43">
        <v>240000</v>
      </c>
      <c r="H148" s="43">
        <f t="shared" ref="H148" si="31">SUM(E148+F148-G148)</f>
        <v>788780</v>
      </c>
      <c r="I148" s="61"/>
      <c r="J148" s="47"/>
      <c r="K148" s="47"/>
      <c r="L148" s="47"/>
    </row>
    <row r="149" spans="1:12" s="16" customFormat="1" ht="12" customHeight="1" thickBot="1" x14ac:dyDescent="0.25">
      <c r="A149" s="31">
        <v>801</v>
      </c>
      <c r="B149" s="31"/>
      <c r="C149" s="32"/>
      <c r="D149" s="33" t="s">
        <v>17</v>
      </c>
      <c r="E149" s="30">
        <v>338739780.48999995</v>
      </c>
      <c r="F149" s="34">
        <f>SUM(F150,F173,F182,F186,F210,F213,F216,F223,F246,F269,F287,F295,F300,F307,F312,F321,F330,F336,F348,F358)</f>
        <v>3329845.2</v>
      </c>
      <c r="G149" s="34">
        <f>SUM(G150,G173,G182,G186,G210,G213,G216,G223,G246,G269,G287,G295,G300,G307,G312,G321,G330,G336,G348,G358)</f>
        <v>3043888.2</v>
      </c>
      <c r="H149" s="30">
        <f>SUM(E149+F149-G149)</f>
        <v>339025737.48999995</v>
      </c>
      <c r="I149" s="46"/>
      <c r="J149" s="47"/>
      <c r="K149" s="47"/>
    </row>
    <row r="150" spans="1:12" s="16" customFormat="1" ht="12" customHeight="1" thickTop="1" x14ac:dyDescent="0.2">
      <c r="A150" s="31"/>
      <c r="B150" s="35">
        <v>80101</v>
      </c>
      <c r="C150" s="26"/>
      <c r="D150" s="36" t="s">
        <v>18</v>
      </c>
      <c r="E150" s="37">
        <v>88923721.930000007</v>
      </c>
      <c r="F150" s="38">
        <f>SUM(F151,F154,F167,F171)</f>
        <v>1247643.2</v>
      </c>
      <c r="G150" s="38">
        <f>SUM(G151,G154,G167,G171)</f>
        <v>771132</v>
      </c>
      <c r="H150" s="37">
        <f>SUM(E150+F150-G150)</f>
        <v>89400233.13000001</v>
      </c>
      <c r="I150" s="46"/>
      <c r="J150" s="47"/>
      <c r="K150" s="47"/>
    </row>
    <row r="151" spans="1:12" s="16" customFormat="1" ht="12" customHeight="1" x14ac:dyDescent="0.2">
      <c r="A151" s="31"/>
      <c r="B151" s="35"/>
      <c r="C151" s="26"/>
      <c r="D151" s="556" t="s">
        <v>185</v>
      </c>
      <c r="E151" s="557">
        <v>8550222</v>
      </c>
      <c r="F151" s="557">
        <f>SUM(F152:F153)</f>
        <v>280000</v>
      </c>
      <c r="G151" s="557">
        <f>SUM(G152:G153)</f>
        <v>0</v>
      </c>
      <c r="H151" s="557">
        <f t="shared" ref="H151:H153" si="32">SUM(E151+F151-G151)</f>
        <v>8830222</v>
      </c>
      <c r="I151" s="46"/>
      <c r="J151" s="47"/>
      <c r="K151" s="47"/>
    </row>
    <row r="152" spans="1:12" s="16" customFormat="1" ht="21.75" customHeight="1" x14ac:dyDescent="0.2">
      <c r="A152" s="31"/>
      <c r="B152" s="35"/>
      <c r="C152" s="55">
        <v>2540</v>
      </c>
      <c r="D152" s="62" t="s">
        <v>186</v>
      </c>
      <c r="E152" s="42">
        <v>2602394</v>
      </c>
      <c r="F152" s="42">
        <v>110000</v>
      </c>
      <c r="G152" s="42"/>
      <c r="H152" s="42">
        <f t="shared" si="32"/>
        <v>2712394</v>
      </c>
      <c r="I152" s="46"/>
      <c r="J152" s="47"/>
      <c r="K152" s="47"/>
    </row>
    <row r="153" spans="1:12" s="16" customFormat="1" ht="31.5" customHeight="1" x14ac:dyDescent="0.2">
      <c r="A153" s="31"/>
      <c r="B153" s="35"/>
      <c r="C153" s="55">
        <v>2590</v>
      </c>
      <c r="D153" s="172" t="s">
        <v>187</v>
      </c>
      <c r="E153" s="43">
        <v>5833078</v>
      </c>
      <c r="F153" s="43">
        <v>170000</v>
      </c>
      <c r="G153" s="43"/>
      <c r="H153" s="40">
        <f t="shared" si="32"/>
        <v>6003078</v>
      </c>
      <c r="I153" s="46"/>
      <c r="J153" s="47"/>
      <c r="K153" s="47"/>
    </row>
    <row r="154" spans="1:12" s="16" customFormat="1" ht="12" customHeight="1" x14ac:dyDescent="0.2">
      <c r="A154" s="31"/>
      <c r="B154" s="35"/>
      <c r="C154" s="26"/>
      <c r="D154" s="560" t="s">
        <v>19</v>
      </c>
      <c r="E154" s="557">
        <v>78475968.799999997</v>
      </c>
      <c r="F154" s="557">
        <f>SUM(F155:F166)</f>
        <v>783263.2</v>
      </c>
      <c r="G154" s="557">
        <f>SUM(G155:G166)</f>
        <v>771132</v>
      </c>
      <c r="H154" s="554">
        <f>SUM(E154+F154-G154)</f>
        <v>78488100</v>
      </c>
      <c r="I154" s="46"/>
      <c r="J154" s="47"/>
      <c r="K154" s="47"/>
      <c r="L154" s="47"/>
    </row>
    <row r="155" spans="1:12" s="16" customFormat="1" ht="12" customHeight="1" x14ac:dyDescent="0.2">
      <c r="A155" s="31"/>
      <c r="B155" s="35"/>
      <c r="C155" s="25">
        <v>3020</v>
      </c>
      <c r="D155" s="39" t="s">
        <v>20</v>
      </c>
      <c r="E155" s="43">
        <v>445457</v>
      </c>
      <c r="F155" s="43">
        <v>10000</v>
      </c>
      <c r="G155" s="43"/>
      <c r="H155" s="41">
        <f t="shared" ref="H155:H166" si="33">SUM(E155+F155-G155)</f>
        <v>455457</v>
      </c>
      <c r="I155" s="46"/>
      <c r="J155" s="47"/>
      <c r="K155" s="47"/>
      <c r="L155" s="47"/>
    </row>
    <row r="156" spans="1:12" s="16" customFormat="1" ht="22.5" customHeight="1" x14ac:dyDescent="0.2">
      <c r="A156" s="31"/>
      <c r="B156" s="35"/>
      <c r="C156" s="55">
        <v>3040</v>
      </c>
      <c r="D156" s="62" t="s">
        <v>188</v>
      </c>
      <c r="E156" s="43">
        <v>0</v>
      </c>
      <c r="F156" s="43">
        <v>750832</v>
      </c>
      <c r="G156" s="43"/>
      <c r="H156" s="41">
        <f t="shared" si="33"/>
        <v>750832</v>
      </c>
      <c r="I156" s="46"/>
      <c r="J156" s="47"/>
      <c r="K156" s="47"/>
      <c r="L156" s="47"/>
    </row>
    <row r="157" spans="1:12" s="16" customFormat="1" ht="12" customHeight="1" x14ac:dyDescent="0.2">
      <c r="A157" s="31"/>
      <c r="B157" s="35"/>
      <c r="C157" s="25">
        <v>4040</v>
      </c>
      <c r="D157" s="39" t="s">
        <v>22</v>
      </c>
      <c r="E157" s="43">
        <v>720441</v>
      </c>
      <c r="F157" s="43"/>
      <c r="G157" s="43">
        <v>900</v>
      </c>
      <c r="H157" s="41">
        <f t="shared" si="33"/>
        <v>719541</v>
      </c>
      <c r="I157" s="46"/>
      <c r="J157" s="47"/>
      <c r="K157" s="47"/>
      <c r="L157" s="47"/>
    </row>
    <row r="158" spans="1:12" s="16" customFormat="1" ht="12" customHeight="1" x14ac:dyDescent="0.2">
      <c r="A158" s="31"/>
      <c r="B158" s="35"/>
      <c r="C158" s="25">
        <v>4110</v>
      </c>
      <c r="D158" s="39" t="s">
        <v>23</v>
      </c>
      <c r="E158" s="43">
        <v>9573918</v>
      </c>
      <c r="F158" s="43">
        <v>516</v>
      </c>
      <c r="G158" s="43"/>
      <c r="H158" s="41">
        <f t="shared" si="33"/>
        <v>9574434</v>
      </c>
      <c r="I158" s="46"/>
      <c r="J158" s="47"/>
      <c r="K158" s="47"/>
      <c r="L158" s="47"/>
    </row>
    <row r="159" spans="1:12" s="16" customFormat="1" ht="12" customHeight="1" x14ac:dyDescent="0.2">
      <c r="A159" s="31"/>
      <c r="B159" s="35"/>
      <c r="C159" s="25">
        <v>4170</v>
      </c>
      <c r="D159" s="39" t="s">
        <v>25</v>
      </c>
      <c r="E159" s="43">
        <v>60147</v>
      </c>
      <c r="F159" s="43">
        <v>1800</v>
      </c>
      <c r="G159" s="43"/>
      <c r="H159" s="41">
        <f t="shared" si="33"/>
        <v>61947</v>
      </c>
      <c r="I159" s="46"/>
      <c r="J159" s="47"/>
      <c r="K159" s="47"/>
      <c r="L159" s="47"/>
    </row>
    <row r="160" spans="1:12" s="16" customFormat="1" ht="12" customHeight="1" x14ac:dyDescent="0.2">
      <c r="A160" s="31"/>
      <c r="B160" s="35"/>
      <c r="C160" s="53" t="s">
        <v>26</v>
      </c>
      <c r="D160" s="54" t="s">
        <v>27</v>
      </c>
      <c r="E160" s="43">
        <v>596531</v>
      </c>
      <c r="F160" s="43"/>
      <c r="G160" s="43">
        <v>16800</v>
      </c>
      <c r="H160" s="41">
        <f t="shared" si="33"/>
        <v>579731</v>
      </c>
      <c r="I160" s="46"/>
      <c r="J160" s="47"/>
      <c r="K160" s="47"/>
      <c r="L160" s="47"/>
    </row>
    <row r="161" spans="1:12" s="16" customFormat="1" ht="12" customHeight="1" x14ac:dyDescent="0.2">
      <c r="A161" s="31"/>
      <c r="B161" s="35"/>
      <c r="C161" s="25">
        <v>4240</v>
      </c>
      <c r="D161" s="39" t="s">
        <v>28</v>
      </c>
      <c r="E161" s="43">
        <v>367644.8</v>
      </c>
      <c r="F161" s="43">
        <v>3115.2</v>
      </c>
      <c r="G161" s="43"/>
      <c r="H161" s="41">
        <f t="shared" si="33"/>
        <v>370760</v>
      </c>
      <c r="I161" s="46"/>
      <c r="J161" s="47"/>
      <c r="K161" s="47"/>
      <c r="L161" s="47"/>
    </row>
    <row r="162" spans="1:12" s="16" customFormat="1" ht="12" customHeight="1" x14ac:dyDescent="0.2">
      <c r="A162" s="31"/>
      <c r="B162" s="35"/>
      <c r="C162" s="25">
        <v>4270</v>
      </c>
      <c r="D162" s="39" t="s">
        <v>30</v>
      </c>
      <c r="E162" s="43">
        <v>234073</v>
      </c>
      <c r="F162" s="43">
        <v>2000</v>
      </c>
      <c r="G162" s="43"/>
      <c r="H162" s="41">
        <f t="shared" si="33"/>
        <v>236073</v>
      </c>
      <c r="I162" s="46"/>
      <c r="J162" s="47"/>
      <c r="K162" s="47"/>
      <c r="L162" s="47"/>
    </row>
    <row r="163" spans="1:12" s="16" customFormat="1" ht="12" customHeight="1" x14ac:dyDescent="0.2">
      <c r="A163" s="31"/>
      <c r="B163" s="35"/>
      <c r="C163" s="25">
        <v>4300</v>
      </c>
      <c r="D163" s="39" t="s">
        <v>15</v>
      </c>
      <c r="E163" s="40">
        <v>869668</v>
      </c>
      <c r="F163" s="40">
        <v>15000</v>
      </c>
      <c r="G163" s="40"/>
      <c r="H163" s="41">
        <f t="shared" si="33"/>
        <v>884668</v>
      </c>
      <c r="I163" s="46"/>
      <c r="J163" s="47"/>
      <c r="K163" s="47"/>
    </row>
    <row r="164" spans="1:12" s="16" customFormat="1" ht="12" customHeight="1" x14ac:dyDescent="0.2">
      <c r="A164" s="31"/>
      <c r="B164" s="35"/>
      <c r="C164" s="25">
        <v>4710</v>
      </c>
      <c r="D164" s="39" t="s">
        <v>37</v>
      </c>
      <c r="E164" s="40">
        <v>153275</v>
      </c>
      <c r="F164" s="40"/>
      <c r="G164" s="40">
        <v>2000</v>
      </c>
      <c r="H164" s="41">
        <f t="shared" si="33"/>
        <v>151275</v>
      </c>
      <c r="I164" s="46"/>
      <c r="J164" s="47"/>
      <c r="K164" s="47"/>
    </row>
    <row r="165" spans="1:12" s="16" customFormat="1" ht="12" customHeight="1" x14ac:dyDescent="0.2">
      <c r="A165" s="31"/>
      <c r="B165" s="35"/>
      <c r="C165" s="57">
        <v>4790</v>
      </c>
      <c r="D165" s="58" t="s">
        <v>38</v>
      </c>
      <c r="E165" s="40">
        <v>40770624</v>
      </c>
      <c r="F165" s="40"/>
      <c r="G165" s="40">
        <v>750832</v>
      </c>
      <c r="H165" s="41">
        <f t="shared" si="33"/>
        <v>40019792</v>
      </c>
      <c r="I165" s="46"/>
      <c r="J165" s="47"/>
      <c r="K165" s="47"/>
    </row>
    <row r="166" spans="1:12" s="16" customFormat="1" ht="12" customHeight="1" x14ac:dyDescent="0.2">
      <c r="A166" s="31"/>
      <c r="B166" s="35"/>
      <c r="C166" s="57">
        <v>4800</v>
      </c>
      <c r="D166" s="58" t="s">
        <v>39</v>
      </c>
      <c r="E166" s="40">
        <v>3206298</v>
      </c>
      <c r="F166" s="40"/>
      <c r="G166" s="40">
        <v>600</v>
      </c>
      <c r="H166" s="41">
        <f t="shared" si="33"/>
        <v>3205698</v>
      </c>
      <c r="I166" s="46"/>
      <c r="J166" s="47"/>
      <c r="K166" s="47"/>
    </row>
    <row r="167" spans="1:12" s="16" customFormat="1" ht="21" customHeight="1" x14ac:dyDescent="0.2">
      <c r="A167" s="31"/>
      <c r="B167" s="35"/>
      <c r="C167" s="26"/>
      <c r="D167" s="558" t="s">
        <v>40</v>
      </c>
      <c r="E167" s="557">
        <v>1547158.59</v>
      </c>
      <c r="F167" s="557">
        <f>SUM(F168:F170)</f>
        <v>183037</v>
      </c>
      <c r="G167" s="557">
        <f>SUM(G168:G170)</f>
        <v>0</v>
      </c>
      <c r="H167" s="554">
        <f>SUM(E167+F167-G167)</f>
        <v>1730195.59</v>
      </c>
      <c r="I167" s="61"/>
      <c r="J167" s="47"/>
      <c r="K167" s="47"/>
    </row>
    <row r="168" spans="1:12" s="16" customFormat="1" ht="21" customHeight="1" x14ac:dyDescent="0.2">
      <c r="A168" s="31"/>
      <c r="B168" s="35"/>
      <c r="C168" s="60" t="s">
        <v>41</v>
      </c>
      <c r="D168" s="56" t="s">
        <v>42</v>
      </c>
      <c r="E168" s="43">
        <v>1112515.27</v>
      </c>
      <c r="F168" s="43">
        <v>24823</v>
      </c>
      <c r="G168" s="43"/>
      <c r="H168" s="41">
        <f t="shared" ref="H168:H170" si="34">SUM(E168+F168-G168)</f>
        <v>1137338.27</v>
      </c>
      <c r="I168" s="61"/>
      <c r="J168" s="47"/>
      <c r="K168" s="47"/>
    </row>
    <row r="169" spans="1:12" s="16" customFormat="1" ht="21" customHeight="1" x14ac:dyDescent="0.2">
      <c r="A169" s="31"/>
      <c r="B169" s="35"/>
      <c r="C169" s="55">
        <v>4750</v>
      </c>
      <c r="D169" s="62" t="s">
        <v>189</v>
      </c>
      <c r="E169" s="43">
        <v>199880.77</v>
      </c>
      <c r="F169" s="43">
        <v>131210</v>
      </c>
      <c r="G169" s="43"/>
      <c r="H169" s="41">
        <f t="shared" si="34"/>
        <v>331090.77</v>
      </c>
      <c r="I169" s="61"/>
      <c r="J169" s="47"/>
      <c r="K169" s="47"/>
    </row>
    <row r="170" spans="1:12" s="16" customFormat="1" ht="21" customHeight="1" x14ac:dyDescent="0.2">
      <c r="A170" s="31"/>
      <c r="B170" s="35"/>
      <c r="C170" s="55">
        <v>4850</v>
      </c>
      <c r="D170" s="62" t="s">
        <v>190</v>
      </c>
      <c r="E170" s="43">
        <v>42519.55</v>
      </c>
      <c r="F170" s="43">
        <v>27004</v>
      </c>
      <c r="G170" s="43"/>
      <c r="H170" s="41">
        <f t="shared" si="34"/>
        <v>69523.55</v>
      </c>
      <c r="I170" s="61"/>
      <c r="J170" s="47"/>
      <c r="K170" s="47"/>
    </row>
    <row r="171" spans="1:12" s="16" customFormat="1" ht="22.5" customHeight="1" x14ac:dyDescent="0.2">
      <c r="A171" s="31"/>
      <c r="B171" s="35"/>
      <c r="C171" s="26"/>
      <c r="D171" s="558" t="s">
        <v>191</v>
      </c>
      <c r="E171" s="557">
        <v>10372.540000000001</v>
      </c>
      <c r="F171" s="557">
        <f>SUM(F172)</f>
        <v>1343</v>
      </c>
      <c r="G171" s="557">
        <f>SUM(G172)</f>
        <v>0</v>
      </c>
      <c r="H171" s="554">
        <f>SUM(E171+F171-G171)</f>
        <v>11715.54</v>
      </c>
      <c r="I171" s="61"/>
      <c r="J171" s="47"/>
      <c r="K171" s="47"/>
    </row>
    <row r="172" spans="1:12" s="16" customFormat="1" ht="33" customHeight="1" x14ac:dyDescent="0.2">
      <c r="A172" s="31"/>
      <c r="B172" s="35"/>
      <c r="C172" s="60" t="s">
        <v>192</v>
      </c>
      <c r="D172" s="56" t="s">
        <v>193</v>
      </c>
      <c r="E172" s="40">
        <v>10372.540000000001</v>
      </c>
      <c r="F172" s="43">
        <v>1343</v>
      </c>
      <c r="G172" s="43"/>
      <c r="H172" s="41">
        <f t="shared" ref="H172" si="35">SUM(E172+F172-G172)</f>
        <v>11715.54</v>
      </c>
      <c r="I172" s="46"/>
      <c r="J172" s="47"/>
      <c r="K172" s="47"/>
    </row>
    <row r="173" spans="1:12" s="16" customFormat="1" ht="12" customHeight="1" x14ac:dyDescent="0.2">
      <c r="A173" s="31"/>
      <c r="B173" s="35">
        <v>80102</v>
      </c>
      <c r="C173" s="26"/>
      <c r="D173" s="36" t="s">
        <v>69</v>
      </c>
      <c r="E173" s="38">
        <v>11888283.5</v>
      </c>
      <c r="F173" s="38">
        <f>SUM(F174,F179)</f>
        <v>191201</v>
      </c>
      <c r="G173" s="38">
        <f>SUM(G174,G179)</f>
        <v>183125</v>
      </c>
      <c r="H173" s="37">
        <f>SUM(E173+F173-G173)</f>
        <v>11896359.5</v>
      </c>
      <c r="I173" s="46"/>
      <c r="J173" s="47"/>
      <c r="K173" s="47"/>
    </row>
    <row r="174" spans="1:12" s="16" customFormat="1" ht="12" customHeight="1" x14ac:dyDescent="0.2">
      <c r="A174" s="31"/>
      <c r="B174" s="35"/>
      <c r="C174" s="26"/>
      <c r="D174" s="560" t="s">
        <v>19</v>
      </c>
      <c r="E174" s="557">
        <v>11821628</v>
      </c>
      <c r="F174" s="557">
        <f>SUM(F175:F178)</f>
        <v>183125</v>
      </c>
      <c r="G174" s="557">
        <f>SUM(G175:G178)</f>
        <v>183125</v>
      </c>
      <c r="H174" s="557">
        <f t="shared" ref="H174:H178" si="36">SUM(E174+F174-G174)</f>
        <v>11821628</v>
      </c>
      <c r="I174" s="46"/>
      <c r="J174" s="47"/>
      <c r="K174" s="47"/>
    </row>
    <row r="175" spans="1:12" s="16" customFormat="1" ht="21" customHeight="1" x14ac:dyDescent="0.2">
      <c r="A175" s="31"/>
      <c r="B175" s="35"/>
      <c r="C175" s="55">
        <v>3040</v>
      </c>
      <c r="D175" s="62" t="s">
        <v>188</v>
      </c>
      <c r="E175" s="43">
        <v>0</v>
      </c>
      <c r="F175" s="43">
        <v>181125</v>
      </c>
      <c r="G175" s="43"/>
      <c r="H175" s="42">
        <f t="shared" si="36"/>
        <v>181125</v>
      </c>
      <c r="I175" s="46"/>
      <c r="J175" s="47"/>
      <c r="K175" s="47"/>
    </row>
    <row r="176" spans="1:12" s="16" customFormat="1" ht="12" customHeight="1" x14ac:dyDescent="0.2">
      <c r="A176" s="63"/>
      <c r="B176" s="64"/>
      <c r="C176" s="65">
        <v>4270</v>
      </c>
      <c r="D176" s="36" t="s">
        <v>30</v>
      </c>
      <c r="E176" s="66">
        <v>8000</v>
      </c>
      <c r="F176" s="66">
        <v>2000</v>
      </c>
      <c r="G176" s="66"/>
      <c r="H176" s="38">
        <f t="shared" si="36"/>
        <v>10000</v>
      </c>
      <c r="I176" s="46"/>
      <c r="J176" s="47"/>
      <c r="K176" s="47"/>
    </row>
    <row r="177" spans="1:11" s="16" customFormat="1" ht="12" customHeight="1" x14ac:dyDescent="0.2">
      <c r="A177" s="31"/>
      <c r="B177" s="35"/>
      <c r="C177" s="25">
        <v>4710</v>
      </c>
      <c r="D177" s="54" t="s">
        <v>37</v>
      </c>
      <c r="E177" s="43">
        <v>20561</v>
      </c>
      <c r="F177" s="43"/>
      <c r="G177" s="43">
        <v>2000</v>
      </c>
      <c r="H177" s="42">
        <f t="shared" si="36"/>
        <v>18561</v>
      </c>
      <c r="I177" s="46"/>
      <c r="J177" s="47"/>
      <c r="K177" s="47"/>
    </row>
    <row r="178" spans="1:11" s="16" customFormat="1" ht="12" customHeight="1" x14ac:dyDescent="0.2">
      <c r="A178" s="31"/>
      <c r="B178" s="35"/>
      <c r="C178" s="57">
        <v>4790</v>
      </c>
      <c r="D178" s="58" t="s">
        <v>38</v>
      </c>
      <c r="E178" s="43">
        <v>6714143</v>
      </c>
      <c r="F178" s="43"/>
      <c r="G178" s="43">
        <v>181125</v>
      </c>
      <c r="H178" s="42">
        <f t="shared" si="36"/>
        <v>6533018</v>
      </c>
      <c r="I178" s="46"/>
      <c r="J178" s="47"/>
      <c r="K178" s="47"/>
    </row>
    <row r="179" spans="1:11" s="16" customFormat="1" ht="21.75" customHeight="1" x14ac:dyDescent="0.2">
      <c r="A179" s="31"/>
      <c r="B179" s="35"/>
      <c r="C179" s="26"/>
      <c r="D179" s="558" t="s">
        <v>40</v>
      </c>
      <c r="E179" s="557">
        <v>66655.5</v>
      </c>
      <c r="F179" s="557">
        <f>SUM(F180:F181)</f>
        <v>8076</v>
      </c>
      <c r="G179" s="557">
        <f>SUM(G180:G181)</f>
        <v>0</v>
      </c>
      <c r="H179" s="554">
        <f>SUM(E179+F179-G179)</f>
        <v>74731.5</v>
      </c>
      <c r="I179" s="61"/>
      <c r="J179" s="47"/>
      <c r="K179" s="47"/>
    </row>
    <row r="180" spans="1:11" s="16" customFormat="1" ht="21.75" customHeight="1" x14ac:dyDescent="0.2">
      <c r="A180" s="31"/>
      <c r="B180" s="35"/>
      <c r="C180" s="55">
        <v>4750</v>
      </c>
      <c r="D180" s="62" t="s">
        <v>189</v>
      </c>
      <c r="E180" s="43">
        <v>9020.93</v>
      </c>
      <c r="F180" s="43">
        <v>6576</v>
      </c>
      <c r="G180" s="43"/>
      <c r="H180" s="41">
        <f t="shared" ref="H180:H181" si="37">SUM(E180+F180-G180)</f>
        <v>15596.93</v>
      </c>
      <c r="I180" s="46"/>
      <c r="J180" s="47"/>
      <c r="K180" s="47"/>
    </row>
    <row r="181" spans="1:11" s="16" customFormat="1" ht="21.75" customHeight="1" x14ac:dyDescent="0.2">
      <c r="A181" s="31"/>
      <c r="B181" s="35"/>
      <c r="C181" s="55">
        <v>4850</v>
      </c>
      <c r="D181" s="62" t="s">
        <v>190</v>
      </c>
      <c r="E181" s="43">
        <v>1824</v>
      </c>
      <c r="F181" s="43">
        <v>1500</v>
      </c>
      <c r="G181" s="43"/>
      <c r="H181" s="41">
        <f t="shared" si="37"/>
        <v>3324</v>
      </c>
      <c r="I181" s="46"/>
      <c r="J181" s="47"/>
      <c r="K181" s="47"/>
    </row>
    <row r="182" spans="1:11" s="16" customFormat="1" ht="12" customHeight="1" x14ac:dyDescent="0.2">
      <c r="A182" s="31"/>
      <c r="B182" s="35">
        <v>80103</v>
      </c>
      <c r="C182" s="26"/>
      <c r="D182" s="36" t="s">
        <v>45</v>
      </c>
      <c r="E182" s="38">
        <v>824587</v>
      </c>
      <c r="F182" s="38">
        <f>SUM(F183)</f>
        <v>3375</v>
      </c>
      <c r="G182" s="38">
        <f>SUM(G183)</f>
        <v>3375</v>
      </c>
      <c r="H182" s="37">
        <f>SUM(E182+F182-G182)</f>
        <v>824587</v>
      </c>
      <c r="I182" s="46"/>
      <c r="J182" s="47"/>
      <c r="K182" s="47"/>
    </row>
    <row r="183" spans="1:11" s="16" customFormat="1" ht="12" customHeight="1" x14ac:dyDescent="0.2">
      <c r="A183" s="31"/>
      <c r="B183" s="35"/>
      <c r="C183" s="26"/>
      <c r="D183" s="560" t="s">
        <v>19</v>
      </c>
      <c r="E183" s="557">
        <v>672091</v>
      </c>
      <c r="F183" s="557">
        <f>SUM(F184:F185)</f>
        <v>3375</v>
      </c>
      <c r="G183" s="557">
        <f>SUM(G184:G185)</f>
        <v>3375</v>
      </c>
      <c r="H183" s="554">
        <f>SUM(E183+F183-G183)</f>
        <v>672091</v>
      </c>
      <c r="I183" s="46"/>
      <c r="J183" s="47"/>
      <c r="K183" s="47"/>
    </row>
    <row r="184" spans="1:11" s="16" customFormat="1" ht="21" customHeight="1" x14ac:dyDescent="0.2">
      <c r="A184" s="31"/>
      <c r="B184" s="35"/>
      <c r="C184" s="55">
        <v>3040</v>
      </c>
      <c r="D184" s="62" t="s">
        <v>188</v>
      </c>
      <c r="E184" s="43">
        <v>0</v>
      </c>
      <c r="F184" s="43">
        <v>3375</v>
      </c>
      <c r="G184" s="43"/>
      <c r="H184" s="41">
        <f t="shared" ref="H184:H185" si="38">SUM(E184+F184-G184)</f>
        <v>3375</v>
      </c>
      <c r="I184" s="46"/>
      <c r="J184" s="47"/>
      <c r="K184" s="47"/>
    </row>
    <row r="185" spans="1:11" s="16" customFormat="1" ht="12" customHeight="1" x14ac:dyDescent="0.2">
      <c r="A185" s="31"/>
      <c r="B185" s="35"/>
      <c r="C185" s="57">
        <v>4790</v>
      </c>
      <c r="D185" s="58" t="s">
        <v>38</v>
      </c>
      <c r="E185" s="43">
        <v>385056</v>
      </c>
      <c r="F185" s="43"/>
      <c r="G185" s="43">
        <v>3375</v>
      </c>
      <c r="H185" s="41">
        <f t="shared" si="38"/>
        <v>381681</v>
      </c>
      <c r="I185" s="46"/>
      <c r="J185" s="47"/>
      <c r="K185" s="47"/>
    </row>
    <row r="186" spans="1:11" s="16" customFormat="1" ht="12" customHeight="1" x14ac:dyDescent="0.2">
      <c r="A186" s="31"/>
      <c r="B186" s="35">
        <v>80104</v>
      </c>
      <c r="C186" s="26"/>
      <c r="D186" s="36" t="s">
        <v>46</v>
      </c>
      <c r="E186" s="38">
        <v>45887729.859999999</v>
      </c>
      <c r="F186" s="38">
        <f>SUM(F187,F190,F204,F208)</f>
        <v>353826</v>
      </c>
      <c r="G186" s="38">
        <f>SUM(G187,G190,G204,G208)</f>
        <v>614040</v>
      </c>
      <c r="H186" s="37">
        <f>SUM(E186+F186-G186)</f>
        <v>45627515.859999999</v>
      </c>
      <c r="I186" s="46"/>
      <c r="J186" s="47"/>
      <c r="K186" s="47"/>
    </row>
    <row r="187" spans="1:11" s="16" customFormat="1" ht="12" customHeight="1" x14ac:dyDescent="0.2">
      <c r="A187" s="31"/>
      <c r="B187" s="35"/>
      <c r="C187" s="26"/>
      <c r="D187" s="556" t="s">
        <v>185</v>
      </c>
      <c r="E187" s="557">
        <v>9723811</v>
      </c>
      <c r="F187" s="557">
        <f>SUM(F188:F189)</f>
        <v>50000</v>
      </c>
      <c r="G187" s="557">
        <f>SUM(G188:G189)</f>
        <v>353000</v>
      </c>
      <c r="H187" s="557">
        <f t="shared" ref="H187:H189" si="39">SUM(E187+F187-G187)</f>
        <v>9420811</v>
      </c>
      <c r="I187" s="46"/>
      <c r="J187" s="47"/>
      <c r="K187" s="47"/>
    </row>
    <row r="188" spans="1:11" s="16" customFormat="1" ht="21.75" customHeight="1" x14ac:dyDescent="0.2">
      <c r="A188" s="31"/>
      <c r="B188" s="35"/>
      <c r="C188" s="55">
        <v>2540</v>
      </c>
      <c r="D188" s="62" t="s">
        <v>186</v>
      </c>
      <c r="E188" s="42">
        <v>7310256</v>
      </c>
      <c r="F188" s="42"/>
      <c r="G188" s="42">
        <v>353000</v>
      </c>
      <c r="H188" s="42">
        <f t="shared" si="39"/>
        <v>6957256</v>
      </c>
      <c r="I188" s="46"/>
      <c r="J188" s="47"/>
      <c r="K188" s="47"/>
    </row>
    <row r="189" spans="1:11" s="16" customFormat="1" ht="33.75" customHeight="1" x14ac:dyDescent="0.2">
      <c r="A189" s="31"/>
      <c r="B189" s="35"/>
      <c r="C189" s="55">
        <v>2590</v>
      </c>
      <c r="D189" s="172" t="s">
        <v>187</v>
      </c>
      <c r="E189" s="43">
        <v>2051055</v>
      </c>
      <c r="F189" s="43">
        <v>50000</v>
      </c>
      <c r="G189" s="43"/>
      <c r="H189" s="40">
        <f t="shared" si="39"/>
        <v>2101055</v>
      </c>
      <c r="I189" s="46"/>
      <c r="J189" s="47"/>
      <c r="K189" s="47"/>
    </row>
    <row r="190" spans="1:11" s="16" customFormat="1" ht="12" customHeight="1" x14ac:dyDescent="0.2">
      <c r="A190" s="31"/>
      <c r="B190" s="35"/>
      <c r="C190" s="26"/>
      <c r="D190" s="560" t="s">
        <v>19</v>
      </c>
      <c r="E190" s="557">
        <v>35587081</v>
      </c>
      <c r="F190" s="557">
        <f>SUM(F191:F203)</f>
        <v>260040</v>
      </c>
      <c r="G190" s="557">
        <f>SUM(G191:G203)</f>
        <v>261040</v>
      </c>
      <c r="H190" s="554">
        <f>SUM(E190+F190-G190)</f>
        <v>35586081</v>
      </c>
      <c r="I190" s="46"/>
      <c r="J190" s="47"/>
      <c r="K190" s="47"/>
    </row>
    <row r="191" spans="1:11" s="16" customFormat="1" ht="12" customHeight="1" x14ac:dyDescent="0.2">
      <c r="A191" s="31"/>
      <c r="B191" s="35"/>
      <c r="C191" s="25">
        <v>3020</v>
      </c>
      <c r="D191" s="39" t="s">
        <v>20</v>
      </c>
      <c r="E191" s="43">
        <v>69573</v>
      </c>
      <c r="F191" s="43">
        <v>1800</v>
      </c>
      <c r="G191" s="43">
        <v>1000</v>
      </c>
      <c r="H191" s="41">
        <f t="shared" ref="H191:H203" si="40">SUM(E191+F191-G191)</f>
        <v>70373</v>
      </c>
      <c r="I191" s="46"/>
      <c r="J191" s="47"/>
      <c r="K191" s="47"/>
    </row>
    <row r="192" spans="1:11" s="16" customFormat="1" ht="21" customHeight="1" x14ac:dyDescent="0.2">
      <c r="A192" s="31"/>
      <c r="B192" s="35"/>
      <c r="C192" s="55">
        <v>3040</v>
      </c>
      <c r="D192" s="62" t="s">
        <v>188</v>
      </c>
      <c r="E192" s="43">
        <v>0</v>
      </c>
      <c r="F192" s="43">
        <v>252720</v>
      </c>
      <c r="G192" s="43"/>
      <c r="H192" s="41">
        <f t="shared" si="40"/>
        <v>252720</v>
      </c>
      <c r="I192" s="46"/>
      <c r="J192" s="47"/>
      <c r="K192" s="47"/>
    </row>
    <row r="193" spans="1:11" s="16" customFormat="1" ht="12" customHeight="1" x14ac:dyDescent="0.2">
      <c r="A193" s="31"/>
      <c r="B193" s="35"/>
      <c r="C193" s="53" t="s">
        <v>26</v>
      </c>
      <c r="D193" s="54" t="s">
        <v>27</v>
      </c>
      <c r="E193" s="43">
        <v>680838</v>
      </c>
      <c r="F193" s="43"/>
      <c r="G193" s="43">
        <v>3000</v>
      </c>
      <c r="H193" s="41">
        <f t="shared" si="40"/>
        <v>677838</v>
      </c>
      <c r="I193" s="46"/>
      <c r="J193" s="47"/>
      <c r="K193" s="47"/>
    </row>
    <row r="194" spans="1:11" s="16" customFormat="1" ht="12" customHeight="1" x14ac:dyDescent="0.2">
      <c r="A194" s="31"/>
      <c r="B194" s="35"/>
      <c r="C194" s="25">
        <v>4240</v>
      </c>
      <c r="D194" s="39" t="s">
        <v>28</v>
      </c>
      <c r="E194" s="43">
        <v>107295</v>
      </c>
      <c r="F194" s="43"/>
      <c r="G194" s="43">
        <v>72</v>
      </c>
      <c r="H194" s="41">
        <f t="shared" si="40"/>
        <v>107223</v>
      </c>
      <c r="I194" s="46"/>
      <c r="J194" s="47"/>
      <c r="K194" s="47"/>
    </row>
    <row r="195" spans="1:11" s="16" customFormat="1" ht="12" customHeight="1" x14ac:dyDescent="0.2">
      <c r="A195" s="31"/>
      <c r="B195" s="35"/>
      <c r="C195" s="25">
        <v>4270</v>
      </c>
      <c r="D195" s="39" t="s">
        <v>30</v>
      </c>
      <c r="E195" s="43">
        <v>218385</v>
      </c>
      <c r="F195" s="43">
        <v>842</v>
      </c>
      <c r="G195" s="43"/>
      <c r="H195" s="41">
        <f t="shared" si="40"/>
        <v>219227</v>
      </c>
      <c r="I195" s="46"/>
      <c r="J195" s="47"/>
      <c r="K195" s="47"/>
    </row>
    <row r="196" spans="1:11" s="16" customFormat="1" ht="12" customHeight="1" x14ac:dyDescent="0.2">
      <c r="A196" s="31"/>
      <c r="B196" s="35"/>
      <c r="C196" s="25">
        <v>4280</v>
      </c>
      <c r="D196" s="39" t="s">
        <v>31</v>
      </c>
      <c r="E196" s="43">
        <v>38965</v>
      </c>
      <c r="F196" s="43">
        <v>700</v>
      </c>
      <c r="G196" s="43"/>
      <c r="H196" s="41">
        <f t="shared" si="40"/>
        <v>39665</v>
      </c>
      <c r="I196" s="46"/>
      <c r="J196" s="47"/>
      <c r="K196" s="47"/>
    </row>
    <row r="197" spans="1:11" s="16" customFormat="1" ht="12" customHeight="1" x14ac:dyDescent="0.2">
      <c r="A197" s="31"/>
      <c r="B197" s="35"/>
      <c r="C197" s="25">
        <v>4300</v>
      </c>
      <c r="D197" s="39" t="s">
        <v>15</v>
      </c>
      <c r="E197" s="40">
        <v>570216</v>
      </c>
      <c r="F197" s="40">
        <v>3000</v>
      </c>
      <c r="G197" s="40"/>
      <c r="H197" s="41">
        <f t="shared" si="40"/>
        <v>573216</v>
      </c>
      <c r="I197" s="46"/>
      <c r="J197" s="47"/>
      <c r="K197" s="47"/>
    </row>
    <row r="198" spans="1:11" s="16" customFormat="1" ht="12" customHeight="1" x14ac:dyDescent="0.2">
      <c r="A198" s="31"/>
      <c r="B198" s="35"/>
      <c r="C198" s="25">
        <v>4360</v>
      </c>
      <c r="D198" s="39" t="s">
        <v>32</v>
      </c>
      <c r="E198" s="40">
        <v>23869</v>
      </c>
      <c r="F198" s="40">
        <v>60</v>
      </c>
      <c r="G198" s="40"/>
      <c r="H198" s="41">
        <f t="shared" si="40"/>
        <v>23929</v>
      </c>
      <c r="I198" s="46"/>
      <c r="J198" s="47"/>
      <c r="K198" s="47"/>
    </row>
    <row r="199" spans="1:11" s="16" customFormat="1" ht="12" customHeight="1" x14ac:dyDescent="0.2">
      <c r="A199" s="31"/>
      <c r="B199" s="35"/>
      <c r="C199" s="25">
        <v>4410</v>
      </c>
      <c r="D199" s="54" t="s">
        <v>33</v>
      </c>
      <c r="E199" s="40">
        <v>4747</v>
      </c>
      <c r="F199" s="40"/>
      <c r="G199" s="40">
        <v>280</v>
      </c>
      <c r="H199" s="41">
        <f t="shared" si="40"/>
        <v>4467</v>
      </c>
      <c r="I199" s="46"/>
      <c r="J199" s="47"/>
      <c r="K199" s="47"/>
    </row>
    <row r="200" spans="1:11" s="16" customFormat="1" ht="12" customHeight="1" x14ac:dyDescent="0.2">
      <c r="A200" s="31"/>
      <c r="B200" s="35"/>
      <c r="C200" s="25">
        <v>4510</v>
      </c>
      <c r="D200" s="39" t="s">
        <v>194</v>
      </c>
      <c r="E200" s="40">
        <v>0</v>
      </c>
      <c r="F200" s="40">
        <v>218</v>
      </c>
      <c r="G200" s="40"/>
      <c r="H200" s="41">
        <f t="shared" si="40"/>
        <v>218</v>
      </c>
      <c r="I200" s="46"/>
      <c r="J200" s="47"/>
      <c r="K200" s="47"/>
    </row>
    <row r="201" spans="1:11" s="16" customFormat="1" ht="21.75" customHeight="1" x14ac:dyDescent="0.2">
      <c r="A201" s="31"/>
      <c r="B201" s="35"/>
      <c r="C201" s="55">
        <v>4700</v>
      </c>
      <c r="D201" s="62" t="s">
        <v>36</v>
      </c>
      <c r="E201" s="40">
        <v>42920</v>
      </c>
      <c r="F201" s="40">
        <v>700</v>
      </c>
      <c r="G201" s="40"/>
      <c r="H201" s="41">
        <f t="shared" si="40"/>
        <v>43620</v>
      </c>
      <c r="I201" s="46"/>
      <c r="J201" s="47"/>
      <c r="K201" s="47"/>
    </row>
    <row r="202" spans="1:11" s="16" customFormat="1" ht="12" customHeight="1" x14ac:dyDescent="0.2">
      <c r="A202" s="31"/>
      <c r="B202" s="35"/>
      <c r="C202" s="25">
        <v>4710</v>
      </c>
      <c r="D202" s="39" t="s">
        <v>37</v>
      </c>
      <c r="E202" s="40">
        <v>105984</v>
      </c>
      <c r="F202" s="40"/>
      <c r="G202" s="40">
        <v>2968</v>
      </c>
      <c r="H202" s="41">
        <f t="shared" si="40"/>
        <v>103016</v>
      </c>
      <c r="I202" s="46"/>
      <c r="J202" s="47"/>
      <c r="K202" s="47"/>
    </row>
    <row r="203" spans="1:11" s="16" customFormat="1" ht="12" customHeight="1" x14ac:dyDescent="0.2">
      <c r="A203" s="31"/>
      <c r="B203" s="35"/>
      <c r="C203" s="57">
        <v>4790</v>
      </c>
      <c r="D203" s="58" t="s">
        <v>38</v>
      </c>
      <c r="E203" s="40">
        <v>13058988</v>
      </c>
      <c r="F203" s="40"/>
      <c r="G203" s="40">
        <f>1000+252720</f>
        <v>253720</v>
      </c>
      <c r="H203" s="41">
        <f t="shared" si="40"/>
        <v>12805268</v>
      </c>
      <c r="I203" s="46"/>
      <c r="J203" s="47"/>
      <c r="K203" s="47"/>
    </row>
    <row r="204" spans="1:11" s="16" customFormat="1" ht="21.75" customHeight="1" x14ac:dyDescent="0.2">
      <c r="A204" s="31"/>
      <c r="B204" s="35"/>
      <c r="C204" s="26"/>
      <c r="D204" s="558" t="s">
        <v>40</v>
      </c>
      <c r="E204" s="565">
        <v>333101.01</v>
      </c>
      <c r="F204" s="557">
        <f>SUM(F205:F207)</f>
        <v>37648</v>
      </c>
      <c r="G204" s="557">
        <f>SUM(G205:G207)</f>
        <v>0</v>
      </c>
      <c r="H204" s="554">
        <f>SUM(E204+F204-G204)</f>
        <v>370749.01</v>
      </c>
      <c r="I204" s="61"/>
      <c r="J204" s="47"/>
      <c r="K204" s="47"/>
    </row>
    <row r="205" spans="1:11" s="16" customFormat="1" ht="21.75" customHeight="1" x14ac:dyDescent="0.2">
      <c r="A205" s="31"/>
      <c r="B205" s="35"/>
      <c r="C205" s="60" t="s">
        <v>41</v>
      </c>
      <c r="D205" s="56" t="s">
        <v>42</v>
      </c>
      <c r="E205" s="67">
        <v>274592.01</v>
      </c>
      <c r="F205" s="43">
        <v>36622</v>
      </c>
      <c r="G205" s="43"/>
      <c r="H205" s="41">
        <f t="shared" ref="H205:H207" si="41">SUM(E205+F205-G205)</f>
        <v>311214.01</v>
      </c>
      <c r="I205" s="61"/>
      <c r="J205" s="47"/>
      <c r="K205" s="47"/>
    </row>
    <row r="206" spans="1:11" s="16" customFormat="1" ht="21.75" customHeight="1" x14ac:dyDescent="0.2">
      <c r="A206" s="31"/>
      <c r="B206" s="35"/>
      <c r="C206" s="55">
        <v>4750</v>
      </c>
      <c r="D206" s="62" t="s">
        <v>189</v>
      </c>
      <c r="E206" s="67">
        <v>1246</v>
      </c>
      <c r="F206" s="43">
        <v>850</v>
      </c>
      <c r="G206" s="43"/>
      <c r="H206" s="41">
        <f t="shared" si="41"/>
        <v>2096</v>
      </c>
      <c r="I206" s="61"/>
      <c r="J206" s="47"/>
      <c r="K206" s="47"/>
    </row>
    <row r="207" spans="1:11" s="16" customFormat="1" ht="21.75" customHeight="1" x14ac:dyDescent="0.2">
      <c r="A207" s="31"/>
      <c r="B207" s="35"/>
      <c r="C207" s="55">
        <v>4850</v>
      </c>
      <c r="D207" s="62" t="s">
        <v>190</v>
      </c>
      <c r="E207" s="67">
        <v>349</v>
      </c>
      <c r="F207" s="43">
        <v>176</v>
      </c>
      <c r="G207" s="43"/>
      <c r="H207" s="41">
        <f t="shared" si="41"/>
        <v>525</v>
      </c>
      <c r="I207" s="61"/>
      <c r="J207" s="47"/>
      <c r="K207" s="47"/>
    </row>
    <row r="208" spans="1:11" s="16" customFormat="1" ht="21.75" customHeight="1" x14ac:dyDescent="0.2">
      <c r="A208" s="31"/>
      <c r="B208" s="35"/>
      <c r="C208" s="26"/>
      <c r="D208" s="558" t="s">
        <v>191</v>
      </c>
      <c r="E208" s="557">
        <v>43736.85</v>
      </c>
      <c r="F208" s="557">
        <f>SUM(F209)</f>
        <v>6138</v>
      </c>
      <c r="G208" s="557">
        <f>SUM(G209)</f>
        <v>0</v>
      </c>
      <c r="H208" s="554">
        <f>SUM(E208+F208-G208)</f>
        <v>49874.85</v>
      </c>
      <c r="I208" s="61"/>
      <c r="J208" s="47"/>
      <c r="K208" s="47"/>
    </row>
    <row r="209" spans="1:11" s="16" customFormat="1" ht="33.75" customHeight="1" x14ac:dyDescent="0.2">
      <c r="A209" s="31"/>
      <c r="B209" s="35"/>
      <c r="C209" s="60" t="s">
        <v>192</v>
      </c>
      <c r="D209" s="56" t="s">
        <v>193</v>
      </c>
      <c r="E209" s="40">
        <v>43736.85</v>
      </c>
      <c r="F209" s="43">
        <v>6138</v>
      </c>
      <c r="G209" s="43"/>
      <c r="H209" s="41">
        <f t="shared" ref="H209" si="42">SUM(E209+F209-G209)</f>
        <v>49874.85</v>
      </c>
      <c r="I209" s="46"/>
      <c r="J209" s="47"/>
      <c r="K209" s="47"/>
    </row>
    <row r="210" spans="1:11" s="16" customFormat="1" ht="12" customHeight="1" x14ac:dyDescent="0.2">
      <c r="A210" s="31"/>
      <c r="B210" s="35">
        <v>80105</v>
      </c>
      <c r="C210" s="26"/>
      <c r="D210" s="36" t="s">
        <v>195</v>
      </c>
      <c r="E210" s="38">
        <v>859773.52</v>
      </c>
      <c r="F210" s="38">
        <f>SUM(F211)</f>
        <v>4770</v>
      </c>
      <c r="G210" s="38">
        <f>SUM(G211)</f>
        <v>0</v>
      </c>
      <c r="H210" s="37">
        <f>SUM(E210+F210-G210)</f>
        <v>864543.52</v>
      </c>
      <c r="I210" s="46"/>
      <c r="J210" s="47"/>
      <c r="K210" s="47"/>
    </row>
    <row r="211" spans="1:11" s="16" customFormat="1" ht="24" customHeight="1" x14ac:dyDescent="0.2">
      <c r="A211" s="31"/>
      <c r="B211" s="25"/>
      <c r="C211" s="26"/>
      <c r="D211" s="558" t="s">
        <v>40</v>
      </c>
      <c r="E211" s="557">
        <v>53017.52</v>
      </c>
      <c r="F211" s="557">
        <f>SUM(F212:F212)</f>
        <v>4770</v>
      </c>
      <c r="G211" s="557">
        <f>SUM(G212:G212)</f>
        <v>0</v>
      </c>
      <c r="H211" s="554">
        <f>SUM(E211+F211-G211)</f>
        <v>57787.519999999997</v>
      </c>
      <c r="I211" s="61"/>
      <c r="J211" s="47"/>
      <c r="K211" s="47"/>
    </row>
    <row r="212" spans="1:11" s="16" customFormat="1" ht="21.75" customHeight="1" x14ac:dyDescent="0.2">
      <c r="A212" s="31"/>
      <c r="B212" s="25"/>
      <c r="C212" s="60" t="s">
        <v>41</v>
      </c>
      <c r="D212" s="56" t="s">
        <v>42</v>
      </c>
      <c r="E212" s="43">
        <v>50304.52</v>
      </c>
      <c r="F212" s="43">
        <v>4770</v>
      </c>
      <c r="G212" s="43"/>
      <c r="H212" s="41">
        <f t="shared" ref="H212" si="43">SUM(E212+F212-G212)</f>
        <v>55074.52</v>
      </c>
      <c r="I212" s="61"/>
      <c r="J212" s="47"/>
      <c r="K212" s="47"/>
    </row>
    <row r="213" spans="1:11" s="16" customFormat="1" ht="12" customHeight="1" x14ac:dyDescent="0.2">
      <c r="A213" s="31"/>
      <c r="B213" s="57">
        <v>80106</v>
      </c>
      <c r="C213" s="159"/>
      <c r="D213" s="68" t="s">
        <v>196</v>
      </c>
      <c r="E213" s="37">
        <v>72822</v>
      </c>
      <c r="F213" s="38">
        <f>SUM(F214)</f>
        <v>23000</v>
      </c>
      <c r="G213" s="38">
        <f>SUM(G214)</f>
        <v>0</v>
      </c>
      <c r="H213" s="37">
        <f>SUM(E213+F213-G213)</f>
        <v>95822</v>
      </c>
      <c r="I213" s="61"/>
      <c r="J213" s="47"/>
      <c r="K213" s="47"/>
    </row>
    <row r="214" spans="1:11" s="16" customFormat="1" ht="12" customHeight="1" x14ac:dyDescent="0.2">
      <c r="A214" s="31"/>
      <c r="B214" s="35"/>
      <c r="C214" s="26"/>
      <c r="D214" s="556" t="s">
        <v>185</v>
      </c>
      <c r="E214" s="557">
        <v>72822</v>
      </c>
      <c r="F214" s="557">
        <f>SUM(F215:F215)</f>
        <v>23000</v>
      </c>
      <c r="G214" s="557">
        <f>SUM(G215:G215)</f>
        <v>0</v>
      </c>
      <c r="H214" s="557">
        <f t="shared" ref="H214:H215" si="44">SUM(E214+F214-G214)</f>
        <v>95822</v>
      </c>
      <c r="I214" s="61"/>
      <c r="J214" s="47"/>
      <c r="K214" s="47"/>
    </row>
    <row r="215" spans="1:11" s="16" customFormat="1" ht="21.75" customHeight="1" x14ac:dyDescent="0.2">
      <c r="A215" s="31"/>
      <c r="B215" s="35"/>
      <c r="C215" s="55">
        <v>2540</v>
      </c>
      <c r="D215" s="62" t="s">
        <v>186</v>
      </c>
      <c r="E215" s="42">
        <v>70572</v>
      </c>
      <c r="F215" s="42">
        <v>23000</v>
      </c>
      <c r="G215" s="42"/>
      <c r="H215" s="42">
        <f t="shared" si="44"/>
        <v>93572</v>
      </c>
      <c r="I215" s="61"/>
      <c r="J215" s="47"/>
      <c r="K215" s="47"/>
    </row>
    <row r="216" spans="1:11" s="16" customFormat="1" ht="12" customHeight="1" x14ac:dyDescent="0.2">
      <c r="A216" s="31"/>
      <c r="B216" s="35">
        <v>80107</v>
      </c>
      <c r="C216" s="26"/>
      <c r="D216" s="68" t="s">
        <v>47</v>
      </c>
      <c r="E216" s="37">
        <v>6146146</v>
      </c>
      <c r="F216" s="38">
        <f>SUM(F217)</f>
        <v>66786</v>
      </c>
      <c r="G216" s="38">
        <f>SUM(G217)</f>
        <v>50286</v>
      </c>
      <c r="H216" s="37">
        <f>SUM(E216+F216-G216)</f>
        <v>6162646</v>
      </c>
      <c r="I216" s="46"/>
      <c r="J216" s="47"/>
      <c r="K216" s="47"/>
    </row>
    <row r="217" spans="1:11" s="16" customFormat="1" ht="12" customHeight="1" x14ac:dyDescent="0.2">
      <c r="A217" s="31"/>
      <c r="B217" s="31"/>
      <c r="C217" s="26"/>
      <c r="D217" s="560" t="s">
        <v>19</v>
      </c>
      <c r="E217" s="557">
        <v>6146146</v>
      </c>
      <c r="F217" s="557">
        <f>SUM(F218:F222)</f>
        <v>66786</v>
      </c>
      <c r="G217" s="557">
        <f>SUM(G218:G222)</f>
        <v>50286</v>
      </c>
      <c r="H217" s="557">
        <f t="shared" ref="H217:H222" si="45">SUM(E217+F217-G217)</f>
        <v>6162646</v>
      </c>
      <c r="I217" s="46"/>
      <c r="J217" s="47"/>
      <c r="K217" s="47"/>
    </row>
    <row r="218" spans="1:11" s="16" customFormat="1" ht="12" customHeight="1" x14ac:dyDescent="0.2">
      <c r="A218" s="31"/>
      <c r="B218" s="31"/>
      <c r="C218" s="25">
        <v>3020</v>
      </c>
      <c r="D218" s="39" t="s">
        <v>20</v>
      </c>
      <c r="E218" s="43">
        <v>35953</v>
      </c>
      <c r="F218" s="43">
        <v>1000</v>
      </c>
      <c r="G218" s="43"/>
      <c r="H218" s="42">
        <f t="shared" si="45"/>
        <v>36953</v>
      </c>
      <c r="I218" s="46"/>
      <c r="J218" s="47"/>
      <c r="K218" s="47"/>
    </row>
    <row r="219" spans="1:11" s="16" customFormat="1" ht="21" customHeight="1" x14ac:dyDescent="0.2">
      <c r="A219" s="31"/>
      <c r="B219" s="31"/>
      <c r="C219" s="55">
        <v>3040</v>
      </c>
      <c r="D219" s="62" t="s">
        <v>188</v>
      </c>
      <c r="E219" s="43">
        <v>0</v>
      </c>
      <c r="F219" s="43">
        <f>42161+5625</f>
        <v>47786</v>
      </c>
      <c r="G219" s="43"/>
      <c r="H219" s="42">
        <f t="shared" si="45"/>
        <v>47786</v>
      </c>
      <c r="I219" s="46"/>
      <c r="J219" s="47"/>
      <c r="K219" s="47"/>
    </row>
    <row r="220" spans="1:11" s="16" customFormat="1" ht="11.25" customHeight="1" x14ac:dyDescent="0.2">
      <c r="A220" s="63"/>
      <c r="B220" s="63"/>
      <c r="C220" s="65">
        <v>4110</v>
      </c>
      <c r="D220" s="36" t="s">
        <v>23</v>
      </c>
      <c r="E220" s="66">
        <v>857810</v>
      </c>
      <c r="F220" s="66">
        <v>3000</v>
      </c>
      <c r="G220" s="66"/>
      <c r="H220" s="38">
        <f t="shared" si="45"/>
        <v>860810</v>
      </c>
      <c r="I220" s="46"/>
      <c r="J220" s="47"/>
      <c r="K220" s="47"/>
    </row>
    <row r="221" spans="1:11" s="16" customFormat="1" ht="12" customHeight="1" x14ac:dyDescent="0.2">
      <c r="A221" s="31"/>
      <c r="B221" s="31"/>
      <c r="C221" s="57">
        <v>4790</v>
      </c>
      <c r="D221" s="58" t="s">
        <v>38</v>
      </c>
      <c r="E221" s="43">
        <v>4471417</v>
      </c>
      <c r="F221" s="43">
        <v>15000</v>
      </c>
      <c r="G221" s="43">
        <f>42161+5625</f>
        <v>47786</v>
      </c>
      <c r="H221" s="42">
        <f t="shared" si="45"/>
        <v>4438631</v>
      </c>
      <c r="I221" s="46"/>
      <c r="J221" s="47"/>
      <c r="K221" s="47"/>
    </row>
    <row r="222" spans="1:11" s="16" customFormat="1" ht="12" customHeight="1" x14ac:dyDescent="0.2">
      <c r="A222" s="31"/>
      <c r="B222" s="69"/>
      <c r="C222" s="57">
        <v>4800</v>
      </c>
      <c r="D222" s="58" t="s">
        <v>39</v>
      </c>
      <c r="E222" s="43">
        <v>316090</v>
      </c>
      <c r="F222" s="43"/>
      <c r="G222" s="40">
        <v>2500</v>
      </c>
      <c r="H222" s="42">
        <f t="shared" si="45"/>
        <v>313590</v>
      </c>
      <c r="I222" s="46"/>
      <c r="J222" s="47"/>
      <c r="K222" s="47"/>
    </row>
    <row r="223" spans="1:11" s="16" customFormat="1" ht="12" customHeight="1" x14ac:dyDescent="0.2">
      <c r="A223" s="31"/>
      <c r="B223" s="35">
        <v>80115</v>
      </c>
      <c r="C223" s="26"/>
      <c r="D223" s="36" t="s">
        <v>72</v>
      </c>
      <c r="E223" s="37">
        <v>62139946.299999997</v>
      </c>
      <c r="F223" s="38">
        <f>SUM(F224,F226,F242)</f>
        <v>539058</v>
      </c>
      <c r="G223" s="38">
        <f>SUM(G224,G226,G242)</f>
        <v>431848</v>
      </c>
      <c r="H223" s="37">
        <f>SUM(E223+F223-G223)</f>
        <v>62247156.299999997</v>
      </c>
      <c r="I223" s="46"/>
      <c r="J223" s="47"/>
      <c r="K223" s="47"/>
    </row>
    <row r="224" spans="1:11" s="16" customFormat="1" ht="12" customHeight="1" x14ac:dyDescent="0.2">
      <c r="A224" s="31"/>
      <c r="B224" s="35"/>
      <c r="C224" s="26"/>
      <c r="D224" s="556" t="s">
        <v>185</v>
      </c>
      <c r="E224" s="557">
        <v>2744009</v>
      </c>
      <c r="F224" s="557">
        <f>SUM(F225:F225)</f>
        <v>40000</v>
      </c>
      <c r="G224" s="557">
        <f>SUM(G225:G225)</f>
        <v>0</v>
      </c>
      <c r="H224" s="557">
        <f t="shared" ref="H224:H225" si="46">SUM(E224+F224-G224)</f>
        <v>2784009</v>
      </c>
      <c r="I224" s="46"/>
      <c r="J224" s="47"/>
      <c r="K224" s="47"/>
    </row>
    <row r="225" spans="1:11" s="16" customFormat="1" ht="22.5" customHeight="1" x14ac:dyDescent="0.2">
      <c r="A225" s="31"/>
      <c r="B225" s="35"/>
      <c r="C225" s="55">
        <v>2540</v>
      </c>
      <c r="D225" s="62" t="s">
        <v>186</v>
      </c>
      <c r="E225" s="42">
        <v>2702384</v>
      </c>
      <c r="F225" s="42">
        <v>40000</v>
      </c>
      <c r="G225" s="42"/>
      <c r="H225" s="42">
        <f t="shared" si="46"/>
        <v>2742384</v>
      </c>
      <c r="I225" s="46"/>
      <c r="J225" s="47"/>
      <c r="K225" s="47"/>
    </row>
    <row r="226" spans="1:11" s="16" customFormat="1" ht="12" customHeight="1" x14ac:dyDescent="0.2">
      <c r="A226" s="31"/>
      <c r="B226" s="35"/>
      <c r="C226" s="26"/>
      <c r="D226" s="560" t="s">
        <v>19</v>
      </c>
      <c r="E226" s="557">
        <v>43681943</v>
      </c>
      <c r="F226" s="557">
        <f>SUM(F227:F241)</f>
        <v>486784</v>
      </c>
      <c r="G226" s="557">
        <f>SUM(G227:G241)</f>
        <v>431773</v>
      </c>
      <c r="H226" s="554">
        <f>SUM(E226+F226-G226)</f>
        <v>43736954</v>
      </c>
      <c r="I226" s="46"/>
      <c r="J226" s="47"/>
      <c r="K226" s="47"/>
    </row>
    <row r="227" spans="1:11" s="16" customFormat="1" ht="12" customHeight="1" x14ac:dyDescent="0.2">
      <c r="A227" s="31"/>
      <c r="B227" s="35"/>
      <c r="C227" s="25">
        <v>3020</v>
      </c>
      <c r="D227" s="39" t="s">
        <v>20</v>
      </c>
      <c r="E227" s="43">
        <v>72554</v>
      </c>
      <c r="F227" s="43">
        <v>6000</v>
      </c>
      <c r="G227" s="43"/>
      <c r="H227" s="41">
        <f t="shared" ref="H227:H241" si="47">SUM(E227+F227-G227)</f>
        <v>78554</v>
      </c>
      <c r="I227" s="46"/>
      <c r="J227" s="47"/>
      <c r="K227" s="47"/>
    </row>
    <row r="228" spans="1:11" s="16" customFormat="1" ht="20.25" customHeight="1" x14ac:dyDescent="0.2">
      <c r="A228" s="31"/>
      <c r="B228" s="35"/>
      <c r="C228" s="55">
        <v>3040</v>
      </c>
      <c r="D228" s="62" t="s">
        <v>188</v>
      </c>
      <c r="E228" s="43">
        <v>0</v>
      </c>
      <c r="F228" s="43">
        <v>415313</v>
      </c>
      <c r="G228" s="43"/>
      <c r="H228" s="41">
        <f t="shared" si="47"/>
        <v>415313</v>
      </c>
      <c r="I228" s="46"/>
      <c r="J228" s="47"/>
      <c r="K228" s="47"/>
    </row>
    <row r="229" spans="1:11" s="16" customFormat="1" ht="12" customHeight="1" x14ac:dyDescent="0.2">
      <c r="A229" s="31"/>
      <c r="B229" s="35"/>
      <c r="C229" s="25">
        <v>4040</v>
      </c>
      <c r="D229" s="39" t="s">
        <v>22</v>
      </c>
      <c r="E229" s="43">
        <v>422563</v>
      </c>
      <c r="F229" s="43"/>
      <c r="G229" s="43">
        <v>470</v>
      </c>
      <c r="H229" s="41">
        <f t="shared" si="47"/>
        <v>422093</v>
      </c>
      <c r="I229" s="46"/>
      <c r="J229" s="47"/>
      <c r="K229" s="47"/>
    </row>
    <row r="230" spans="1:11" s="16" customFormat="1" ht="12" customHeight="1" x14ac:dyDescent="0.2">
      <c r="A230" s="31"/>
      <c r="B230" s="35"/>
      <c r="C230" s="25">
        <v>4110</v>
      </c>
      <c r="D230" s="39" t="s">
        <v>23</v>
      </c>
      <c r="E230" s="43">
        <v>5420041</v>
      </c>
      <c r="F230" s="43">
        <v>5500</v>
      </c>
      <c r="G230" s="43"/>
      <c r="H230" s="41">
        <f t="shared" si="47"/>
        <v>5425541</v>
      </c>
      <c r="I230" s="46"/>
      <c r="J230" s="47"/>
      <c r="K230" s="47"/>
    </row>
    <row r="231" spans="1:11" s="16" customFormat="1" ht="12" customHeight="1" x14ac:dyDescent="0.2">
      <c r="A231" s="31"/>
      <c r="B231" s="35"/>
      <c r="C231" s="25">
        <v>4120</v>
      </c>
      <c r="D231" s="39" t="s">
        <v>24</v>
      </c>
      <c r="E231" s="43">
        <v>766467</v>
      </c>
      <c r="F231" s="43">
        <v>1000</v>
      </c>
      <c r="G231" s="43"/>
      <c r="H231" s="41">
        <f t="shared" si="47"/>
        <v>767467</v>
      </c>
      <c r="I231" s="46"/>
      <c r="J231" s="47"/>
      <c r="K231" s="47"/>
    </row>
    <row r="232" spans="1:11" s="16" customFormat="1" ht="12" customHeight="1" x14ac:dyDescent="0.2">
      <c r="A232" s="31"/>
      <c r="B232" s="35"/>
      <c r="C232" s="25">
        <v>4240</v>
      </c>
      <c r="D232" s="39" t="s">
        <v>28</v>
      </c>
      <c r="E232" s="43">
        <v>208455</v>
      </c>
      <c r="F232" s="43">
        <v>1800</v>
      </c>
      <c r="G232" s="43"/>
      <c r="H232" s="41">
        <f t="shared" si="47"/>
        <v>210255</v>
      </c>
      <c r="I232" s="46"/>
      <c r="J232" s="47"/>
      <c r="K232" s="47"/>
    </row>
    <row r="233" spans="1:11" s="16" customFormat="1" ht="12" customHeight="1" x14ac:dyDescent="0.2">
      <c r="A233" s="31"/>
      <c r="B233" s="35"/>
      <c r="C233" s="25">
        <v>4260</v>
      </c>
      <c r="D233" s="39" t="s">
        <v>29</v>
      </c>
      <c r="E233" s="43">
        <v>2918941</v>
      </c>
      <c r="F233" s="43">
        <v>10800</v>
      </c>
      <c r="G233" s="43"/>
      <c r="H233" s="41">
        <f t="shared" si="47"/>
        <v>2929741</v>
      </c>
      <c r="I233" s="46"/>
      <c r="J233" s="47"/>
      <c r="K233" s="47"/>
    </row>
    <row r="234" spans="1:11" s="16" customFormat="1" ht="12" customHeight="1" x14ac:dyDescent="0.2">
      <c r="A234" s="31"/>
      <c r="B234" s="35"/>
      <c r="C234" s="25">
        <v>4270</v>
      </c>
      <c r="D234" s="39" t="s">
        <v>30</v>
      </c>
      <c r="E234" s="43">
        <v>187493</v>
      </c>
      <c r="F234" s="43"/>
      <c r="G234" s="43">
        <v>9000</v>
      </c>
      <c r="H234" s="41">
        <f t="shared" si="47"/>
        <v>178493</v>
      </c>
      <c r="I234" s="46"/>
      <c r="J234" s="47"/>
      <c r="K234" s="47"/>
    </row>
    <row r="235" spans="1:11" s="16" customFormat="1" ht="12" customHeight="1" x14ac:dyDescent="0.2">
      <c r="A235" s="31"/>
      <c r="B235" s="35"/>
      <c r="C235" s="25">
        <v>4280</v>
      </c>
      <c r="D235" s="39" t="s">
        <v>31</v>
      </c>
      <c r="E235" s="43">
        <v>32121</v>
      </c>
      <c r="F235" s="43">
        <v>3076</v>
      </c>
      <c r="G235" s="43"/>
      <c r="H235" s="41">
        <f t="shared" si="47"/>
        <v>35197</v>
      </c>
      <c r="I235" s="46"/>
      <c r="J235" s="47"/>
      <c r="K235" s="47"/>
    </row>
    <row r="236" spans="1:11" s="16" customFormat="1" ht="12" customHeight="1" x14ac:dyDescent="0.2">
      <c r="A236" s="31"/>
      <c r="B236" s="35"/>
      <c r="C236" s="25">
        <v>4300</v>
      </c>
      <c r="D236" s="39" t="s">
        <v>15</v>
      </c>
      <c r="E236" s="40">
        <v>353346</v>
      </c>
      <c r="F236" s="40">
        <v>3000</v>
      </c>
      <c r="G236" s="40">
        <v>500</v>
      </c>
      <c r="H236" s="41">
        <f t="shared" si="47"/>
        <v>355846</v>
      </c>
      <c r="I236" s="46"/>
      <c r="J236" s="47"/>
      <c r="K236" s="47"/>
    </row>
    <row r="237" spans="1:11" s="16" customFormat="1" ht="12" customHeight="1" x14ac:dyDescent="0.2">
      <c r="A237" s="31"/>
      <c r="B237" s="35"/>
      <c r="C237" s="25">
        <v>4410</v>
      </c>
      <c r="D237" s="54" t="s">
        <v>33</v>
      </c>
      <c r="E237" s="40">
        <v>15753</v>
      </c>
      <c r="F237" s="40">
        <v>1095</v>
      </c>
      <c r="G237" s="40"/>
      <c r="H237" s="41">
        <f t="shared" si="47"/>
        <v>16848</v>
      </c>
      <c r="I237" s="46"/>
      <c r="J237" s="47"/>
      <c r="K237" s="47"/>
    </row>
    <row r="238" spans="1:11" s="16" customFormat="1" ht="12" customHeight="1" x14ac:dyDescent="0.2">
      <c r="A238" s="31"/>
      <c r="B238" s="35"/>
      <c r="C238" s="25">
        <v>4430</v>
      </c>
      <c r="D238" s="39" t="s">
        <v>34</v>
      </c>
      <c r="E238" s="40">
        <v>23214</v>
      </c>
      <c r="F238" s="40">
        <f>700+500</f>
        <v>1200</v>
      </c>
      <c r="G238" s="40"/>
      <c r="H238" s="41">
        <f t="shared" si="47"/>
        <v>24414</v>
      </c>
      <c r="I238" s="46"/>
      <c r="J238" s="47"/>
      <c r="K238" s="47"/>
    </row>
    <row r="239" spans="1:11" s="16" customFormat="1" ht="12" customHeight="1" x14ac:dyDescent="0.2">
      <c r="A239" s="31"/>
      <c r="B239" s="35"/>
      <c r="C239" s="25">
        <v>4710</v>
      </c>
      <c r="D239" s="39" t="s">
        <v>37</v>
      </c>
      <c r="E239" s="40">
        <v>121327</v>
      </c>
      <c r="F239" s="40"/>
      <c r="G239" s="40">
        <v>1700</v>
      </c>
      <c r="H239" s="41">
        <f t="shared" si="47"/>
        <v>119627</v>
      </c>
      <c r="I239" s="46"/>
      <c r="J239" s="47"/>
      <c r="K239" s="47"/>
    </row>
    <row r="240" spans="1:11" s="16" customFormat="1" ht="12" customHeight="1" x14ac:dyDescent="0.2">
      <c r="A240" s="31"/>
      <c r="B240" s="35"/>
      <c r="C240" s="57">
        <v>4790</v>
      </c>
      <c r="D240" s="58" t="s">
        <v>38</v>
      </c>
      <c r="E240" s="40">
        <v>23295127</v>
      </c>
      <c r="F240" s="40">
        <v>38000</v>
      </c>
      <c r="G240" s="40">
        <v>415313</v>
      </c>
      <c r="H240" s="41">
        <f t="shared" si="47"/>
        <v>22917814</v>
      </c>
      <c r="I240" s="46"/>
      <c r="J240" s="47"/>
      <c r="K240" s="47"/>
    </row>
    <row r="241" spans="1:11" s="16" customFormat="1" ht="12" customHeight="1" x14ac:dyDescent="0.2">
      <c r="A241" s="31"/>
      <c r="B241" s="35"/>
      <c r="C241" s="57">
        <v>4800</v>
      </c>
      <c r="D241" s="58" t="s">
        <v>39</v>
      </c>
      <c r="E241" s="40">
        <v>1905821</v>
      </c>
      <c r="F241" s="40"/>
      <c r="G241" s="40">
        <v>4790</v>
      </c>
      <c r="H241" s="41">
        <f t="shared" si="47"/>
        <v>1901031</v>
      </c>
      <c r="I241" s="46"/>
      <c r="J241" s="47"/>
      <c r="K241" s="47"/>
    </row>
    <row r="242" spans="1:11" s="16" customFormat="1" ht="21.75" customHeight="1" x14ac:dyDescent="0.2">
      <c r="A242" s="31"/>
      <c r="B242" s="35"/>
      <c r="C242" s="26"/>
      <c r="D242" s="558" t="s">
        <v>40</v>
      </c>
      <c r="E242" s="557">
        <v>92947.409999999989</v>
      </c>
      <c r="F242" s="557">
        <f>SUM(F243:F245)</f>
        <v>12274</v>
      </c>
      <c r="G242" s="557">
        <f>SUM(G243:G245)</f>
        <v>75</v>
      </c>
      <c r="H242" s="554">
        <f>SUM(E242+F242-G242)</f>
        <v>105146.40999999999</v>
      </c>
      <c r="I242" s="61"/>
      <c r="J242" s="47"/>
      <c r="K242" s="47"/>
    </row>
    <row r="243" spans="1:11" s="16" customFormat="1" ht="21.75" customHeight="1" x14ac:dyDescent="0.2">
      <c r="A243" s="31"/>
      <c r="B243" s="35"/>
      <c r="C243" s="60" t="s">
        <v>41</v>
      </c>
      <c r="D243" s="56" t="s">
        <v>42</v>
      </c>
      <c r="E243" s="43">
        <v>65329.41</v>
      </c>
      <c r="F243" s="43"/>
      <c r="G243" s="43">
        <v>75</v>
      </c>
      <c r="H243" s="41">
        <f t="shared" ref="H243:H245" si="48">SUM(E243+F243-G243)</f>
        <v>65254.41</v>
      </c>
      <c r="I243" s="61"/>
      <c r="J243" s="47"/>
      <c r="K243" s="47"/>
    </row>
    <row r="244" spans="1:11" s="16" customFormat="1" ht="21.75" customHeight="1" x14ac:dyDescent="0.2">
      <c r="A244" s="31"/>
      <c r="B244" s="35"/>
      <c r="C244" s="55">
        <v>4750</v>
      </c>
      <c r="D244" s="62" t="s">
        <v>189</v>
      </c>
      <c r="E244" s="43">
        <v>17561.71</v>
      </c>
      <c r="F244" s="43">
        <v>9572</v>
      </c>
      <c r="G244" s="43"/>
      <c r="H244" s="41">
        <f t="shared" si="48"/>
        <v>27133.71</v>
      </c>
      <c r="I244" s="61"/>
      <c r="J244" s="47"/>
      <c r="K244" s="47"/>
    </row>
    <row r="245" spans="1:11" s="16" customFormat="1" ht="21.75" customHeight="1" x14ac:dyDescent="0.2">
      <c r="A245" s="31"/>
      <c r="B245" s="35"/>
      <c r="C245" s="55">
        <v>4850</v>
      </c>
      <c r="D245" s="62" t="s">
        <v>190</v>
      </c>
      <c r="E245" s="43">
        <v>3816.29</v>
      </c>
      <c r="F245" s="43">
        <v>2702</v>
      </c>
      <c r="G245" s="43"/>
      <c r="H245" s="41">
        <f t="shared" si="48"/>
        <v>6518.29</v>
      </c>
      <c r="I245" s="61"/>
      <c r="J245" s="47"/>
      <c r="K245" s="47"/>
    </row>
    <row r="246" spans="1:11" s="16" customFormat="1" ht="12" customHeight="1" x14ac:dyDescent="0.2">
      <c r="A246" s="31"/>
      <c r="B246" s="35">
        <v>80117</v>
      </c>
      <c r="C246" s="26"/>
      <c r="D246" s="36" t="s">
        <v>197</v>
      </c>
      <c r="E246" s="66">
        <v>9471870.6699999999</v>
      </c>
      <c r="F246" s="38">
        <f>SUM(F247,F250,F263,F267)</f>
        <v>24590</v>
      </c>
      <c r="G246" s="38">
        <f>SUM(G247,G250,G263,G267)</f>
        <v>274514</v>
      </c>
      <c r="H246" s="37">
        <f>SUM(E246+F246-G246)</f>
        <v>9221946.6699999999</v>
      </c>
      <c r="I246" s="46"/>
      <c r="J246" s="47"/>
      <c r="K246" s="47"/>
    </row>
    <row r="247" spans="1:11" s="16" customFormat="1" ht="12" customHeight="1" x14ac:dyDescent="0.2">
      <c r="A247" s="31"/>
      <c r="B247" s="35"/>
      <c r="C247" s="26"/>
      <c r="D247" s="556" t="s">
        <v>185</v>
      </c>
      <c r="E247" s="557">
        <v>2624278</v>
      </c>
      <c r="F247" s="557">
        <f>SUM(F248:F249)</f>
        <v>0</v>
      </c>
      <c r="G247" s="557">
        <f>SUM(G248:G249)</f>
        <v>200000</v>
      </c>
      <c r="H247" s="557">
        <f t="shared" ref="H247:H262" si="49">SUM(E247+F247-G247)</f>
        <v>2424278</v>
      </c>
      <c r="I247" s="46"/>
      <c r="J247" s="47"/>
      <c r="K247" s="47"/>
    </row>
    <row r="248" spans="1:11" s="16" customFormat="1" ht="21" customHeight="1" x14ac:dyDescent="0.2">
      <c r="A248" s="31"/>
      <c r="B248" s="35"/>
      <c r="C248" s="55">
        <v>2540</v>
      </c>
      <c r="D248" s="62" t="s">
        <v>186</v>
      </c>
      <c r="E248" s="42">
        <v>1606616</v>
      </c>
      <c r="F248" s="42"/>
      <c r="G248" s="42">
        <v>150000</v>
      </c>
      <c r="H248" s="42">
        <f t="shared" si="49"/>
        <v>1456616</v>
      </c>
      <c r="I248" s="46"/>
      <c r="J248" s="47"/>
      <c r="K248" s="47"/>
    </row>
    <row r="249" spans="1:11" s="16" customFormat="1" ht="32.25" customHeight="1" x14ac:dyDescent="0.2">
      <c r="A249" s="31"/>
      <c r="B249" s="35"/>
      <c r="C249" s="55">
        <v>2590</v>
      </c>
      <c r="D249" s="172" t="s">
        <v>187</v>
      </c>
      <c r="E249" s="43">
        <v>1004162</v>
      </c>
      <c r="F249" s="43"/>
      <c r="G249" s="43">
        <v>50000</v>
      </c>
      <c r="H249" s="40">
        <f t="shared" si="49"/>
        <v>954162</v>
      </c>
      <c r="I249" s="46"/>
      <c r="J249" s="47"/>
      <c r="K249" s="47"/>
    </row>
    <row r="250" spans="1:11" s="16" customFormat="1" ht="12" customHeight="1" x14ac:dyDescent="0.2">
      <c r="A250" s="31"/>
      <c r="B250" s="35"/>
      <c r="C250" s="26"/>
      <c r="D250" s="560" t="s">
        <v>19</v>
      </c>
      <c r="E250" s="557">
        <v>6818826</v>
      </c>
      <c r="F250" s="557">
        <f>SUM(F251:F262)</f>
        <v>19813</v>
      </c>
      <c r="G250" s="557">
        <f>SUM(G251:G262)</f>
        <v>74514</v>
      </c>
      <c r="H250" s="557">
        <f t="shared" si="49"/>
        <v>6764125</v>
      </c>
      <c r="I250" s="46"/>
      <c r="J250" s="47"/>
      <c r="K250" s="47"/>
    </row>
    <row r="251" spans="1:11" s="16" customFormat="1" ht="12" customHeight="1" x14ac:dyDescent="0.2">
      <c r="A251" s="31"/>
      <c r="B251" s="35"/>
      <c r="C251" s="25">
        <v>3020</v>
      </c>
      <c r="D251" s="39" t="s">
        <v>20</v>
      </c>
      <c r="E251" s="42">
        <v>12294</v>
      </c>
      <c r="F251" s="42">
        <v>2000</v>
      </c>
      <c r="G251" s="42"/>
      <c r="H251" s="42">
        <f t="shared" si="49"/>
        <v>14294</v>
      </c>
      <c r="I251" s="46"/>
      <c r="J251" s="47"/>
      <c r="K251" s="47"/>
    </row>
    <row r="252" spans="1:11" s="16" customFormat="1" ht="21.75" customHeight="1" x14ac:dyDescent="0.2">
      <c r="A252" s="31"/>
      <c r="B252" s="35"/>
      <c r="C252" s="55">
        <v>3040</v>
      </c>
      <c r="D252" s="62" t="s">
        <v>188</v>
      </c>
      <c r="E252" s="42">
        <v>0</v>
      </c>
      <c r="F252" s="42">
        <v>17813</v>
      </c>
      <c r="G252" s="42"/>
      <c r="H252" s="42">
        <f t="shared" si="49"/>
        <v>17813</v>
      </c>
      <c r="I252" s="46"/>
      <c r="J252" s="47"/>
      <c r="K252" s="47"/>
    </row>
    <row r="253" spans="1:11" s="16" customFormat="1" ht="12" customHeight="1" x14ac:dyDescent="0.2">
      <c r="A253" s="31"/>
      <c r="B253" s="35"/>
      <c r="C253" s="25">
        <v>4110</v>
      </c>
      <c r="D253" s="39" t="s">
        <v>23</v>
      </c>
      <c r="E253" s="42">
        <v>800415</v>
      </c>
      <c r="F253" s="42"/>
      <c r="G253" s="42">
        <v>5500</v>
      </c>
      <c r="H253" s="42">
        <f t="shared" si="49"/>
        <v>794915</v>
      </c>
      <c r="I253" s="46"/>
      <c r="J253" s="47"/>
      <c r="K253" s="47"/>
    </row>
    <row r="254" spans="1:11" s="16" customFormat="1" ht="12" customHeight="1" x14ac:dyDescent="0.2">
      <c r="A254" s="31"/>
      <c r="B254" s="35"/>
      <c r="C254" s="25">
        <v>4120</v>
      </c>
      <c r="D254" s="39" t="s">
        <v>24</v>
      </c>
      <c r="E254" s="42">
        <v>110140</v>
      </c>
      <c r="F254" s="42"/>
      <c r="G254" s="42">
        <v>1000</v>
      </c>
      <c r="H254" s="42">
        <f t="shared" si="49"/>
        <v>109140</v>
      </c>
      <c r="I254" s="46"/>
      <c r="J254" s="47"/>
      <c r="K254" s="47"/>
    </row>
    <row r="255" spans="1:11" s="16" customFormat="1" ht="12" customHeight="1" x14ac:dyDescent="0.2">
      <c r="A255" s="31"/>
      <c r="B255" s="35"/>
      <c r="C255" s="25">
        <v>4240</v>
      </c>
      <c r="D255" s="39" t="s">
        <v>28</v>
      </c>
      <c r="E255" s="42">
        <v>101109</v>
      </c>
      <c r="F255" s="42"/>
      <c r="G255" s="42">
        <v>6800</v>
      </c>
      <c r="H255" s="42">
        <f t="shared" si="49"/>
        <v>94309</v>
      </c>
      <c r="I255" s="46"/>
      <c r="J255" s="47"/>
      <c r="K255" s="47"/>
    </row>
    <row r="256" spans="1:11" s="16" customFormat="1" ht="12" customHeight="1" x14ac:dyDescent="0.2">
      <c r="A256" s="31"/>
      <c r="B256" s="35"/>
      <c r="C256" s="25">
        <v>4260</v>
      </c>
      <c r="D256" s="39" t="s">
        <v>29</v>
      </c>
      <c r="E256" s="42">
        <v>716052</v>
      </c>
      <c r="F256" s="42"/>
      <c r="G256" s="42">
        <v>800</v>
      </c>
      <c r="H256" s="42">
        <f t="shared" si="49"/>
        <v>715252</v>
      </c>
      <c r="I256" s="46"/>
      <c r="J256" s="47"/>
      <c r="K256" s="47"/>
    </row>
    <row r="257" spans="1:11" s="16" customFormat="1" ht="12" customHeight="1" x14ac:dyDescent="0.2">
      <c r="A257" s="31"/>
      <c r="B257" s="35"/>
      <c r="C257" s="25">
        <v>4270</v>
      </c>
      <c r="D257" s="39" t="s">
        <v>30</v>
      </c>
      <c r="E257" s="42">
        <v>24622</v>
      </c>
      <c r="F257" s="42"/>
      <c r="G257" s="42">
        <v>2000</v>
      </c>
      <c r="H257" s="42">
        <f t="shared" si="49"/>
        <v>22622</v>
      </c>
      <c r="I257" s="46"/>
      <c r="J257" s="47"/>
      <c r="K257" s="47"/>
    </row>
    <row r="258" spans="1:11" s="16" customFormat="1" ht="12" customHeight="1" x14ac:dyDescent="0.2">
      <c r="A258" s="31"/>
      <c r="B258" s="35"/>
      <c r="C258" s="25">
        <v>4280</v>
      </c>
      <c r="D258" s="35" t="s">
        <v>31</v>
      </c>
      <c r="E258" s="42">
        <v>4711</v>
      </c>
      <c r="F258" s="42"/>
      <c r="G258" s="42">
        <v>76</v>
      </c>
      <c r="H258" s="42">
        <f t="shared" si="49"/>
        <v>4635</v>
      </c>
      <c r="I258" s="46"/>
      <c r="J258" s="47"/>
      <c r="K258" s="47"/>
    </row>
    <row r="259" spans="1:11" s="16" customFormat="1" ht="12" customHeight="1" x14ac:dyDescent="0.2">
      <c r="A259" s="31"/>
      <c r="B259" s="35"/>
      <c r="C259" s="25">
        <v>4410</v>
      </c>
      <c r="D259" s="54" t="s">
        <v>33</v>
      </c>
      <c r="E259" s="42">
        <v>2742</v>
      </c>
      <c r="F259" s="42"/>
      <c r="G259" s="42">
        <v>95</v>
      </c>
      <c r="H259" s="42">
        <f t="shared" si="49"/>
        <v>2647</v>
      </c>
      <c r="I259" s="46"/>
      <c r="J259" s="47"/>
      <c r="K259" s="47"/>
    </row>
    <row r="260" spans="1:11" s="16" customFormat="1" ht="12" customHeight="1" x14ac:dyDescent="0.2">
      <c r="A260" s="31"/>
      <c r="B260" s="35"/>
      <c r="C260" s="25">
        <v>4710</v>
      </c>
      <c r="D260" s="39" t="s">
        <v>37</v>
      </c>
      <c r="E260" s="42">
        <v>28725</v>
      </c>
      <c r="F260" s="42"/>
      <c r="G260" s="42">
        <v>2000</v>
      </c>
      <c r="H260" s="42">
        <f t="shared" si="49"/>
        <v>26725</v>
      </c>
      <c r="I260" s="46"/>
      <c r="J260" s="47"/>
      <c r="K260" s="47"/>
    </row>
    <row r="261" spans="1:11" s="16" customFormat="1" ht="12" customHeight="1" x14ac:dyDescent="0.2">
      <c r="A261" s="31"/>
      <c r="B261" s="35"/>
      <c r="C261" s="57">
        <v>4790</v>
      </c>
      <c r="D261" s="58" t="s">
        <v>38</v>
      </c>
      <c r="E261" s="42">
        <v>3731852</v>
      </c>
      <c r="F261" s="42"/>
      <c r="G261" s="42">
        <f>38000+17813</f>
        <v>55813</v>
      </c>
      <c r="H261" s="42">
        <f t="shared" si="49"/>
        <v>3676039</v>
      </c>
      <c r="I261" s="46"/>
      <c r="J261" s="47"/>
      <c r="K261" s="47"/>
    </row>
    <row r="262" spans="1:11" s="16" customFormat="1" ht="12" customHeight="1" x14ac:dyDescent="0.2">
      <c r="A262" s="31"/>
      <c r="B262" s="35"/>
      <c r="C262" s="57">
        <v>4800</v>
      </c>
      <c r="D262" s="58" t="s">
        <v>39</v>
      </c>
      <c r="E262" s="42">
        <v>311629</v>
      </c>
      <c r="F262" s="42"/>
      <c r="G262" s="42">
        <v>430</v>
      </c>
      <c r="H262" s="42">
        <f t="shared" si="49"/>
        <v>311199</v>
      </c>
      <c r="I262" s="46"/>
      <c r="J262" s="47"/>
      <c r="K262" s="47"/>
    </row>
    <row r="263" spans="1:11" s="16" customFormat="1" ht="24" customHeight="1" x14ac:dyDescent="0.2">
      <c r="A263" s="31"/>
      <c r="B263" s="35"/>
      <c r="C263" s="26"/>
      <c r="D263" s="558" t="s">
        <v>40</v>
      </c>
      <c r="E263" s="557">
        <v>22220</v>
      </c>
      <c r="F263" s="557">
        <f>SUM(F264:F266)</f>
        <v>3923</v>
      </c>
      <c r="G263" s="557">
        <f>SUM(G264:G266)</f>
        <v>0</v>
      </c>
      <c r="H263" s="554">
        <f>SUM(E263+F263-G263)</f>
        <v>26143</v>
      </c>
      <c r="I263" s="61"/>
      <c r="J263" s="47"/>
      <c r="K263" s="47"/>
    </row>
    <row r="264" spans="1:11" s="16" customFormat="1" ht="22.5" customHeight="1" x14ac:dyDescent="0.2">
      <c r="A264" s="31"/>
      <c r="B264" s="35"/>
      <c r="C264" s="60" t="s">
        <v>41</v>
      </c>
      <c r="D264" s="56" t="s">
        <v>42</v>
      </c>
      <c r="E264" s="43">
        <v>12880</v>
      </c>
      <c r="F264" s="43">
        <v>1000</v>
      </c>
      <c r="G264" s="43"/>
      <c r="H264" s="41">
        <f t="shared" ref="H264:H266" si="50">SUM(E264+F264-G264)</f>
        <v>13880</v>
      </c>
      <c r="I264" s="61"/>
      <c r="J264" s="47"/>
      <c r="K264" s="47"/>
    </row>
    <row r="265" spans="1:11" s="16" customFormat="1" ht="22.5" customHeight="1" x14ac:dyDescent="0.2">
      <c r="A265" s="31"/>
      <c r="B265" s="35"/>
      <c r="C265" s="55">
        <v>4750</v>
      </c>
      <c r="D265" s="62" t="s">
        <v>189</v>
      </c>
      <c r="E265" s="43">
        <v>3580</v>
      </c>
      <c r="F265" s="43">
        <v>2423</v>
      </c>
      <c r="G265" s="43"/>
      <c r="H265" s="41">
        <f t="shared" si="50"/>
        <v>6003</v>
      </c>
      <c r="I265" s="61"/>
      <c r="J265" s="47"/>
      <c r="K265" s="47"/>
    </row>
    <row r="266" spans="1:11" s="16" customFormat="1" ht="22.5" customHeight="1" x14ac:dyDescent="0.2">
      <c r="A266" s="63"/>
      <c r="B266" s="64"/>
      <c r="C266" s="150">
        <v>4850</v>
      </c>
      <c r="D266" s="151" t="s">
        <v>190</v>
      </c>
      <c r="E266" s="66">
        <v>660</v>
      </c>
      <c r="F266" s="66">
        <v>500</v>
      </c>
      <c r="G266" s="66"/>
      <c r="H266" s="37">
        <f t="shared" si="50"/>
        <v>1160</v>
      </c>
      <c r="I266" s="61"/>
      <c r="J266" s="47"/>
      <c r="K266" s="47"/>
    </row>
    <row r="267" spans="1:11" s="16" customFormat="1" ht="21.75" customHeight="1" x14ac:dyDescent="0.2">
      <c r="A267" s="31"/>
      <c r="B267" s="31"/>
      <c r="C267" s="26"/>
      <c r="D267" s="558" t="s">
        <v>191</v>
      </c>
      <c r="E267" s="557">
        <v>6546.67</v>
      </c>
      <c r="F267" s="557">
        <f>SUM(F268)</f>
        <v>854</v>
      </c>
      <c r="G267" s="557">
        <f>SUM(G268)</f>
        <v>0</v>
      </c>
      <c r="H267" s="554">
        <f>SUM(E267+F267-G267)</f>
        <v>7400.67</v>
      </c>
      <c r="I267" s="61"/>
      <c r="J267" s="47"/>
      <c r="K267" s="47"/>
    </row>
    <row r="268" spans="1:11" s="16" customFormat="1" ht="33.75" customHeight="1" x14ac:dyDescent="0.2">
      <c r="A268" s="31"/>
      <c r="B268" s="31"/>
      <c r="C268" s="60" t="s">
        <v>192</v>
      </c>
      <c r="D268" s="56" t="s">
        <v>193</v>
      </c>
      <c r="E268" s="40">
        <v>6546.67</v>
      </c>
      <c r="F268" s="43">
        <v>854</v>
      </c>
      <c r="G268" s="43"/>
      <c r="H268" s="41">
        <f t="shared" ref="H268" si="51">SUM(E268+F268-G268)</f>
        <v>7400.67</v>
      </c>
      <c r="I268" s="46"/>
      <c r="J268" s="47"/>
      <c r="K268" s="47"/>
    </row>
    <row r="269" spans="1:11" s="16" customFormat="1" ht="12" customHeight="1" x14ac:dyDescent="0.2">
      <c r="A269" s="31"/>
      <c r="B269" s="57">
        <v>80120</v>
      </c>
      <c r="C269" s="159"/>
      <c r="D269" s="68" t="s">
        <v>74</v>
      </c>
      <c r="E269" s="66">
        <v>34430750.149999999</v>
      </c>
      <c r="F269" s="38">
        <f>SUM(F270,F272,F282,F285)</f>
        <v>284298</v>
      </c>
      <c r="G269" s="38">
        <f>SUM(G270,G272,G282,G285)</f>
        <v>371580</v>
      </c>
      <c r="H269" s="37">
        <f>SUM(E269+F269-G269)</f>
        <v>34343468.149999999</v>
      </c>
      <c r="I269" s="46"/>
      <c r="J269" s="47"/>
      <c r="K269" s="47"/>
    </row>
    <row r="270" spans="1:11" s="16" customFormat="1" ht="12" customHeight="1" x14ac:dyDescent="0.2">
      <c r="A270" s="31"/>
      <c r="B270" s="57"/>
      <c r="C270" s="26"/>
      <c r="D270" s="556" t="s">
        <v>185</v>
      </c>
      <c r="E270" s="557">
        <v>6419436</v>
      </c>
      <c r="F270" s="557">
        <f>SUM(F271:F271)</f>
        <v>0</v>
      </c>
      <c r="G270" s="557">
        <f>SUM(G271:G271)</f>
        <v>110000</v>
      </c>
      <c r="H270" s="557">
        <f t="shared" ref="H270:H271" si="52">SUM(E270+F270-G270)</f>
        <v>6309436</v>
      </c>
      <c r="I270" s="46"/>
      <c r="J270" s="47"/>
      <c r="K270" s="47"/>
    </row>
    <row r="271" spans="1:11" s="16" customFormat="1" ht="21.75" customHeight="1" x14ac:dyDescent="0.2">
      <c r="A271" s="31"/>
      <c r="B271" s="57"/>
      <c r="C271" s="55">
        <v>2540</v>
      </c>
      <c r="D271" s="62" t="s">
        <v>186</v>
      </c>
      <c r="E271" s="42">
        <v>3253811</v>
      </c>
      <c r="F271" s="42"/>
      <c r="G271" s="42">
        <v>110000</v>
      </c>
      <c r="H271" s="42">
        <f t="shared" si="52"/>
        <v>3143811</v>
      </c>
      <c r="I271" s="46"/>
      <c r="J271" s="47"/>
      <c r="K271" s="47"/>
    </row>
    <row r="272" spans="1:11" s="16" customFormat="1" ht="12" customHeight="1" x14ac:dyDescent="0.2">
      <c r="A272" s="31"/>
      <c r="B272" s="31"/>
      <c r="C272" s="26"/>
      <c r="D272" s="560" t="s">
        <v>19</v>
      </c>
      <c r="E272" s="557">
        <v>27581471</v>
      </c>
      <c r="F272" s="557">
        <f>SUM(F273:F281)</f>
        <v>262250</v>
      </c>
      <c r="G272" s="557">
        <f>SUM(G273:G281)</f>
        <v>261580</v>
      </c>
      <c r="H272" s="557">
        <f>SUM(E272+F272-G272)</f>
        <v>27582141</v>
      </c>
      <c r="I272" s="46"/>
      <c r="J272" s="47"/>
      <c r="K272" s="47"/>
    </row>
    <row r="273" spans="1:11" s="16" customFormat="1" ht="12" customHeight="1" x14ac:dyDescent="0.2">
      <c r="A273" s="31"/>
      <c r="B273" s="31"/>
      <c r="C273" s="25">
        <v>3020</v>
      </c>
      <c r="D273" s="39" t="s">
        <v>20</v>
      </c>
      <c r="E273" s="43">
        <v>32914</v>
      </c>
      <c r="F273" s="43">
        <v>1000</v>
      </c>
      <c r="G273" s="43"/>
      <c r="H273" s="42">
        <f t="shared" ref="H273:H281" si="53">SUM(E273+F273-G273)</f>
        <v>33914</v>
      </c>
      <c r="I273" s="46"/>
      <c r="J273" s="47"/>
      <c r="K273" s="47"/>
    </row>
    <row r="274" spans="1:11" s="16" customFormat="1" ht="21.75" customHeight="1" x14ac:dyDescent="0.2">
      <c r="A274" s="31"/>
      <c r="B274" s="31"/>
      <c r="C274" s="55">
        <v>3040</v>
      </c>
      <c r="D274" s="62" t="s">
        <v>188</v>
      </c>
      <c r="E274" s="43">
        <v>0</v>
      </c>
      <c r="F274" s="43">
        <v>254250</v>
      </c>
      <c r="G274" s="43"/>
      <c r="H274" s="42">
        <f t="shared" si="53"/>
        <v>254250</v>
      </c>
      <c r="I274" s="46"/>
      <c r="J274" s="47"/>
      <c r="K274" s="47"/>
    </row>
    <row r="275" spans="1:11" s="16" customFormat="1" ht="12" customHeight="1" x14ac:dyDescent="0.2">
      <c r="A275" s="31"/>
      <c r="B275" s="31"/>
      <c r="C275" s="25">
        <v>4240</v>
      </c>
      <c r="D275" s="39" t="s">
        <v>28</v>
      </c>
      <c r="E275" s="43">
        <v>94316</v>
      </c>
      <c r="F275" s="43"/>
      <c r="G275" s="43">
        <v>1000</v>
      </c>
      <c r="H275" s="42">
        <f t="shared" si="53"/>
        <v>93316</v>
      </c>
      <c r="I275" s="46"/>
      <c r="J275" s="47"/>
      <c r="K275" s="47"/>
    </row>
    <row r="276" spans="1:11" s="16" customFormat="1" ht="12" customHeight="1" x14ac:dyDescent="0.2">
      <c r="A276" s="31"/>
      <c r="B276" s="31"/>
      <c r="C276" s="25">
        <v>4280</v>
      </c>
      <c r="D276" s="35" t="s">
        <v>31</v>
      </c>
      <c r="E276" s="43">
        <v>26865</v>
      </c>
      <c r="F276" s="43">
        <v>1000</v>
      </c>
      <c r="G276" s="43"/>
      <c r="H276" s="42">
        <f t="shared" si="53"/>
        <v>27865</v>
      </c>
      <c r="I276" s="46"/>
      <c r="J276" s="47"/>
      <c r="K276" s="47"/>
    </row>
    <row r="277" spans="1:11" s="16" customFormat="1" ht="12" customHeight="1" x14ac:dyDescent="0.2">
      <c r="A277" s="31"/>
      <c r="B277" s="31"/>
      <c r="C277" s="25">
        <v>4300</v>
      </c>
      <c r="D277" s="39" t="s">
        <v>15</v>
      </c>
      <c r="E277" s="43">
        <v>228910</v>
      </c>
      <c r="F277" s="43">
        <v>3000</v>
      </c>
      <c r="G277" s="43"/>
      <c r="H277" s="42">
        <f t="shared" si="53"/>
        <v>231910</v>
      </c>
      <c r="I277" s="46"/>
      <c r="J277" s="47"/>
      <c r="K277" s="47"/>
    </row>
    <row r="278" spans="1:11" s="16" customFormat="1" ht="20.25" customHeight="1" x14ac:dyDescent="0.2">
      <c r="A278" s="31"/>
      <c r="B278" s="31"/>
      <c r="C278" s="55">
        <v>4390</v>
      </c>
      <c r="D278" s="62" t="s">
        <v>175</v>
      </c>
      <c r="E278" s="43">
        <v>0</v>
      </c>
      <c r="F278" s="43">
        <v>3000</v>
      </c>
      <c r="G278" s="43"/>
      <c r="H278" s="42">
        <f t="shared" si="53"/>
        <v>3000</v>
      </c>
      <c r="I278" s="46"/>
      <c r="J278" s="47"/>
      <c r="K278" s="47"/>
    </row>
    <row r="279" spans="1:11" s="16" customFormat="1" ht="12" customHeight="1" x14ac:dyDescent="0.2">
      <c r="A279" s="31"/>
      <c r="B279" s="31"/>
      <c r="C279" s="25">
        <v>4710</v>
      </c>
      <c r="D279" s="54" t="s">
        <v>37</v>
      </c>
      <c r="E279" s="43">
        <v>111737.42</v>
      </c>
      <c r="F279" s="43"/>
      <c r="G279" s="43">
        <v>6000</v>
      </c>
      <c r="H279" s="42">
        <f t="shared" si="53"/>
        <v>105737.42</v>
      </c>
      <c r="I279" s="46"/>
      <c r="J279" s="47"/>
      <c r="K279" s="47"/>
    </row>
    <row r="280" spans="1:11" s="16" customFormat="1" ht="12" customHeight="1" x14ac:dyDescent="0.2">
      <c r="A280" s="31"/>
      <c r="B280" s="31"/>
      <c r="C280" s="57">
        <v>4790</v>
      </c>
      <c r="D280" s="58" t="s">
        <v>38</v>
      </c>
      <c r="E280" s="43">
        <v>14966826</v>
      </c>
      <c r="F280" s="43"/>
      <c r="G280" s="43">
        <v>254250</v>
      </c>
      <c r="H280" s="42">
        <f t="shared" si="53"/>
        <v>14712576</v>
      </c>
      <c r="I280" s="46"/>
      <c r="J280" s="47"/>
      <c r="K280" s="47"/>
    </row>
    <row r="281" spans="1:11" s="16" customFormat="1" ht="12" customHeight="1" x14ac:dyDescent="0.2">
      <c r="A281" s="31"/>
      <c r="B281" s="31"/>
      <c r="C281" s="57">
        <v>4800</v>
      </c>
      <c r="D281" s="58" t="s">
        <v>39</v>
      </c>
      <c r="E281" s="43">
        <v>1167380</v>
      </c>
      <c r="F281" s="43"/>
      <c r="G281" s="43">
        <v>330</v>
      </c>
      <c r="H281" s="42">
        <f t="shared" si="53"/>
        <v>1167050</v>
      </c>
      <c r="I281" s="46"/>
      <c r="J281" s="47"/>
      <c r="K281" s="47"/>
    </row>
    <row r="282" spans="1:11" s="16" customFormat="1" ht="21.75" customHeight="1" x14ac:dyDescent="0.2">
      <c r="A282" s="31"/>
      <c r="B282" s="35"/>
      <c r="C282" s="26"/>
      <c r="D282" s="558" t="s">
        <v>40</v>
      </c>
      <c r="E282" s="557">
        <v>131245.75</v>
      </c>
      <c r="F282" s="557">
        <f>SUM(F283:F284)</f>
        <v>11732</v>
      </c>
      <c r="G282" s="557">
        <f>SUM(G283:G284)</f>
        <v>0</v>
      </c>
      <c r="H282" s="554">
        <f>SUM(E282+F282-G282)</f>
        <v>142977.75</v>
      </c>
      <c r="I282" s="61"/>
      <c r="J282" s="47"/>
      <c r="K282" s="47"/>
    </row>
    <row r="283" spans="1:11" s="16" customFormat="1" ht="21" customHeight="1" x14ac:dyDescent="0.2">
      <c r="A283" s="31"/>
      <c r="B283" s="35"/>
      <c r="C283" s="55">
        <v>4750</v>
      </c>
      <c r="D283" s="62" t="s">
        <v>189</v>
      </c>
      <c r="E283" s="43">
        <v>38154</v>
      </c>
      <c r="F283" s="43">
        <v>9732</v>
      </c>
      <c r="G283" s="43"/>
      <c r="H283" s="41">
        <f t="shared" ref="H283:H284" si="54">SUM(E283+F283-G283)</f>
        <v>47886</v>
      </c>
      <c r="I283" s="61"/>
      <c r="J283" s="47"/>
      <c r="K283" s="47"/>
    </row>
    <row r="284" spans="1:11" s="16" customFormat="1" ht="21" customHeight="1" x14ac:dyDescent="0.2">
      <c r="A284" s="31"/>
      <c r="B284" s="35"/>
      <c r="C284" s="55">
        <v>4850</v>
      </c>
      <c r="D284" s="62" t="s">
        <v>190</v>
      </c>
      <c r="E284" s="43">
        <v>7855</v>
      </c>
      <c r="F284" s="43">
        <v>2000</v>
      </c>
      <c r="G284" s="43"/>
      <c r="H284" s="41">
        <f t="shared" si="54"/>
        <v>9855</v>
      </c>
      <c r="I284" s="61"/>
      <c r="J284" s="47"/>
      <c r="K284" s="47"/>
    </row>
    <row r="285" spans="1:11" s="16" customFormat="1" ht="21.75" customHeight="1" x14ac:dyDescent="0.2">
      <c r="A285" s="31"/>
      <c r="B285" s="35"/>
      <c r="C285" s="26"/>
      <c r="D285" s="558" t="s">
        <v>191</v>
      </c>
      <c r="E285" s="557">
        <v>78597.399999999994</v>
      </c>
      <c r="F285" s="557">
        <f>SUM(F286)</f>
        <v>10316</v>
      </c>
      <c r="G285" s="557">
        <f>SUM(G286)</f>
        <v>0</v>
      </c>
      <c r="H285" s="554">
        <f>SUM(E285+F285-G285)</f>
        <v>88913.4</v>
      </c>
      <c r="I285" s="61"/>
      <c r="J285" s="47"/>
      <c r="K285" s="47"/>
    </row>
    <row r="286" spans="1:11" s="16" customFormat="1" ht="33.75" customHeight="1" x14ac:dyDescent="0.2">
      <c r="A286" s="31"/>
      <c r="B286" s="35"/>
      <c r="C286" s="60" t="s">
        <v>192</v>
      </c>
      <c r="D286" s="56" t="s">
        <v>193</v>
      </c>
      <c r="E286" s="40">
        <v>78597.399999999994</v>
      </c>
      <c r="F286" s="43">
        <v>10316</v>
      </c>
      <c r="G286" s="43"/>
      <c r="H286" s="41">
        <f t="shared" ref="H286" si="55">SUM(E286+F286-G286)</f>
        <v>88913.4</v>
      </c>
      <c r="I286" s="46"/>
      <c r="J286" s="47"/>
      <c r="K286" s="47"/>
    </row>
    <row r="287" spans="1:11" s="16" customFormat="1" ht="12" customHeight="1" x14ac:dyDescent="0.2">
      <c r="A287" s="31"/>
      <c r="B287" s="25">
        <v>80132</v>
      </c>
      <c r="C287" s="26"/>
      <c r="D287" s="36" t="s">
        <v>198</v>
      </c>
      <c r="E287" s="38">
        <v>8927082.7799999993</v>
      </c>
      <c r="F287" s="38">
        <f>SUM(F288,F292)</f>
        <v>62171</v>
      </c>
      <c r="G287" s="38">
        <f>SUM(G288,G292)</f>
        <v>74250</v>
      </c>
      <c r="H287" s="37">
        <f>SUM(E287+F287-G287)</f>
        <v>8915003.7799999993</v>
      </c>
      <c r="I287" s="46"/>
      <c r="J287" s="47"/>
      <c r="K287" s="47"/>
    </row>
    <row r="288" spans="1:11" s="16" customFormat="1" ht="12" customHeight="1" x14ac:dyDescent="0.2">
      <c r="A288" s="31"/>
      <c r="B288" s="25"/>
      <c r="C288" s="26"/>
      <c r="D288" s="560" t="s">
        <v>19</v>
      </c>
      <c r="E288" s="557">
        <v>6100767</v>
      </c>
      <c r="F288" s="557">
        <f>SUM(F289:F291)</f>
        <v>56250</v>
      </c>
      <c r="G288" s="557">
        <f>SUM(G289:G291)</f>
        <v>74250</v>
      </c>
      <c r="H288" s="557">
        <f t="shared" ref="H288:H291" si="56">SUM(E288+F288-G288)</f>
        <v>6082767</v>
      </c>
      <c r="I288" s="46"/>
      <c r="J288" s="47"/>
      <c r="K288" s="47"/>
    </row>
    <row r="289" spans="1:11" s="16" customFormat="1" ht="21.75" customHeight="1" x14ac:dyDescent="0.2">
      <c r="A289" s="31"/>
      <c r="B289" s="25"/>
      <c r="C289" s="55">
        <v>3040</v>
      </c>
      <c r="D289" s="62" t="s">
        <v>188</v>
      </c>
      <c r="E289" s="43">
        <v>0</v>
      </c>
      <c r="F289" s="43">
        <v>56250</v>
      </c>
      <c r="G289" s="43"/>
      <c r="H289" s="41">
        <f t="shared" si="56"/>
        <v>56250</v>
      </c>
      <c r="I289" s="46"/>
      <c r="J289" s="47"/>
      <c r="K289" s="47"/>
    </row>
    <row r="290" spans="1:11" s="16" customFormat="1" ht="12" customHeight="1" x14ac:dyDescent="0.2">
      <c r="A290" s="31"/>
      <c r="B290" s="25"/>
      <c r="C290" s="25">
        <v>4110</v>
      </c>
      <c r="D290" s="39" t="s">
        <v>23</v>
      </c>
      <c r="E290" s="43">
        <v>773410</v>
      </c>
      <c r="F290" s="43"/>
      <c r="G290" s="43">
        <v>3000</v>
      </c>
      <c r="H290" s="41">
        <f t="shared" si="56"/>
        <v>770410</v>
      </c>
      <c r="I290" s="46"/>
      <c r="J290" s="47"/>
      <c r="K290" s="47"/>
    </row>
    <row r="291" spans="1:11" s="16" customFormat="1" ht="12" customHeight="1" x14ac:dyDescent="0.2">
      <c r="A291" s="31"/>
      <c r="B291" s="25"/>
      <c r="C291" s="57">
        <v>4790</v>
      </c>
      <c r="D291" s="58" t="s">
        <v>38</v>
      </c>
      <c r="E291" s="43">
        <v>3544101</v>
      </c>
      <c r="F291" s="43"/>
      <c r="G291" s="43">
        <f>56250+15000</f>
        <v>71250</v>
      </c>
      <c r="H291" s="41">
        <f t="shared" si="56"/>
        <v>3472851</v>
      </c>
      <c r="I291" s="46"/>
      <c r="J291" s="47"/>
      <c r="K291" s="47"/>
    </row>
    <row r="292" spans="1:11" s="16" customFormat="1" ht="21.75" customHeight="1" x14ac:dyDescent="0.2">
      <c r="A292" s="31"/>
      <c r="B292" s="25"/>
      <c r="C292" s="26"/>
      <c r="D292" s="558" t="s">
        <v>40</v>
      </c>
      <c r="E292" s="557">
        <v>46315.78</v>
      </c>
      <c r="F292" s="557">
        <f>SUM(F293:F294)</f>
        <v>5921</v>
      </c>
      <c r="G292" s="557">
        <f>SUM(G293:G294)</f>
        <v>0</v>
      </c>
      <c r="H292" s="554">
        <f>SUM(E292+F292-G292)</f>
        <v>52236.78</v>
      </c>
      <c r="I292" s="61"/>
      <c r="J292" s="47"/>
      <c r="K292" s="47"/>
    </row>
    <row r="293" spans="1:11" s="16" customFormat="1" ht="21.75" customHeight="1" x14ac:dyDescent="0.2">
      <c r="A293" s="31"/>
      <c r="B293" s="25"/>
      <c r="C293" s="55">
        <v>4750</v>
      </c>
      <c r="D293" s="62" t="s">
        <v>189</v>
      </c>
      <c r="E293" s="43">
        <v>14199</v>
      </c>
      <c r="F293" s="43">
        <v>4921</v>
      </c>
      <c r="G293" s="43"/>
      <c r="H293" s="41">
        <f t="shared" ref="H293:H294" si="57">SUM(E293+F293-G293)</f>
        <v>19120</v>
      </c>
      <c r="I293" s="46"/>
      <c r="J293" s="47"/>
      <c r="K293" s="47"/>
    </row>
    <row r="294" spans="1:11" s="16" customFormat="1" ht="21.75" customHeight="1" x14ac:dyDescent="0.2">
      <c r="A294" s="31"/>
      <c r="B294" s="25"/>
      <c r="C294" s="55">
        <v>4850</v>
      </c>
      <c r="D294" s="62" t="s">
        <v>190</v>
      </c>
      <c r="E294" s="43">
        <v>2925</v>
      </c>
      <c r="F294" s="43">
        <v>1000</v>
      </c>
      <c r="G294" s="43"/>
      <c r="H294" s="41">
        <f t="shared" si="57"/>
        <v>3925</v>
      </c>
      <c r="I294" s="46"/>
      <c r="J294" s="47"/>
      <c r="K294" s="47"/>
    </row>
    <row r="295" spans="1:11" s="16" customFormat="1" ht="12" customHeight="1" x14ac:dyDescent="0.2">
      <c r="A295" s="31"/>
      <c r="B295" s="35">
        <v>80134</v>
      </c>
      <c r="C295" s="26"/>
      <c r="D295" s="148" t="s">
        <v>78</v>
      </c>
      <c r="E295" s="66">
        <v>10370541</v>
      </c>
      <c r="F295" s="38">
        <f>SUM(F296)</f>
        <v>9000</v>
      </c>
      <c r="G295" s="38">
        <f>SUM(G296)</f>
        <v>9000</v>
      </c>
      <c r="H295" s="37">
        <f>SUM(E295+F295-G295)</f>
        <v>10370541</v>
      </c>
      <c r="I295" s="46"/>
      <c r="J295" s="47"/>
      <c r="K295" s="47"/>
    </row>
    <row r="296" spans="1:11" s="16" customFormat="1" ht="12" customHeight="1" x14ac:dyDescent="0.2">
      <c r="A296" s="31"/>
      <c r="B296" s="35"/>
      <c r="C296" s="26"/>
      <c r="D296" s="560" t="s">
        <v>19</v>
      </c>
      <c r="E296" s="557">
        <v>10357981</v>
      </c>
      <c r="F296" s="557">
        <f>SUM(F297:F298)</f>
        <v>9000</v>
      </c>
      <c r="G296" s="557">
        <f>SUM(G297:G298)</f>
        <v>9000</v>
      </c>
      <c r="H296" s="557">
        <f t="shared" ref="H296:H298" si="58">SUM(E296+F296-G296)</f>
        <v>10357981</v>
      </c>
      <c r="I296" s="46"/>
      <c r="J296" s="47"/>
      <c r="K296" s="47"/>
    </row>
    <row r="297" spans="1:11" s="16" customFormat="1" ht="21" customHeight="1" x14ac:dyDescent="0.2">
      <c r="A297" s="31"/>
      <c r="B297" s="35"/>
      <c r="C297" s="55">
        <v>3040</v>
      </c>
      <c r="D297" s="62" t="s">
        <v>188</v>
      </c>
      <c r="E297" s="43">
        <v>0</v>
      </c>
      <c r="F297" s="43">
        <v>9000</v>
      </c>
      <c r="G297" s="43"/>
      <c r="H297" s="41">
        <f t="shared" si="58"/>
        <v>9000</v>
      </c>
      <c r="I297" s="46"/>
      <c r="J297" s="47"/>
      <c r="K297" s="47"/>
    </row>
    <row r="298" spans="1:11" s="16" customFormat="1" ht="12" customHeight="1" x14ac:dyDescent="0.2">
      <c r="A298" s="31"/>
      <c r="B298" s="35"/>
      <c r="C298" s="57">
        <v>4790</v>
      </c>
      <c r="D298" s="58" t="s">
        <v>38</v>
      </c>
      <c r="E298" s="43">
        <v>6690890</v>
      </c>
      <c r="F298" s="43"/>
      <c r="G298" s="43">
        <v>9000</v>
      </c>
      <c r="H298" s="41">
        <f t="shared" si="58"/>
        <v>6681890</v>
      </c>
      <c r="I298" s="46"/>
      <c r="J298" s="47"/>
      <c r="K298" s="47"/>
    </row>
    <row r="299" spans="1:11" s="16" customFormat="1" ht="12" customHeight="1" x14ac:dyDescent="0.2">
      <c r="A299" s="31"/>
      <c r="B299" s="35">
        <v>80140</v>
      </c>
      <c r="C299" s="53"/>
      <c r="D299" s="173" t="s">
        <v>199</v>
      </c>
      <c r="E299" s="124"/>
      <c r="F299" s="137"/>
      <c r="G299" s="137"/>
      <c r="H299" s="124"/>
      <c r="I299" s="46"/>
      <c r="J299" s="47"/>
      <c r="K299" s="47"/>
    </row>
    <row r="300" spans="1:11" s="16" customFormat="1" ht="12" customHeight="1" x14ac:dyDescent="0.2">
      <c r="A300" s="31"/>
      <c r="B300" s="35"/>
      <c r="C300" s="26"/>
      <c r="D300" s="36" t="s">
        <v>200</v>
      </c>
      <c r="E300" s="37">
        <v>3847577</v>
      </c>
      <c r="F300" s="38">
        <f>SUM(F301)</f>
        <v>44375</v>
      </c>
      <c r="G300" s="38">
        <f>SUM(G301)</f>
        <v>40375</v>
      </c>
      <c r="H300" s="37">
        <f t="shared" ref="H300" si="59">SUM(E300+F300-G300)</f>
        <v>3851577</v>
      </c>
      <c r="I300" s="46"/>
      <c r="J300" s="47"/>
      <c r="K300" s="47"/>
    </row>
    <row r="301" spans="1:11" s="16" customFormat="1" ht="12" customHeight="1" x14ac:dyDescent="0.2">
      <c r="A301" s="31"/>
      <c r="B301" s="35"/>
      <c r="C301" s="26"/>
      <c r="D301" s="560" t="s">
        <v>19</v>
      </c>
      <c r="E301" s="557">
        <v>3847577</v>
      </c>
      <c r="F301" s="557">
        <f>SUM(F302:F306)</f>
        <v>44375</v>
      </c>
      <c r="G301" s="557">
        <f>SUM(G302:G306)</f>
        <v>40375</v>
      </c>
      <c r="H301" s="554">
        <f>SUM(E301+F301-G301)</f>
        <v>3851577</v>
      </c>
      <c r="I301" s="46"/>
      <c r="J301" s="47"/>
      <c r="K301" s="47"/>
    </row>
    <row r="302" spans="1:11" s="16" customFormat="1" ht="12" customHeight="1" x14ac:dyDescent="0.2">
      <c r="A302" s="31"/>
      <c r="B302" s="35"/>
      <c r="C302" s="25">
        <v>3020</v>
      </c>
      <c r="D302" s="39" t="s">
        <v>20</v>
      </c>
      <c r="E302" s="43">
        <v>12700</v>
      </c>
      <c r="F302" s="43">
        <v>1000</v>
      </c>
      <c r="G302" s="43"/>
      <c r="H302" s="41">
        <f t="shared" ref="H302:H306" si="60">SUM(E302+F302-G302)</f>
        <v>13700</v>
      </c>
      <c r="I302" s="46"/>
      <c r="J302" s="47"/>
      <c r="K302" s="47"/>
    </row>
    <row r="303" spans="1:11" s="16" customFormat="1" ht="21" customHeight="1" x14ac:dyDescent="0.2">
      <c r="A303" s="31"/>
      <c r="B303" s="35"/>
      <c r="C303" s="55">
        <v>3040</v>
      </c>
      <c r="D303" s="62" t="s">
        <v>188</v>
      </c>
      <c r="E303" s="43">
        <v>0</v>
      </c>
      <c r="F303" s="43">
        <v>39375</v>
      </c>
      <c r="G303" s="43"/>
      <c r="H303" s="41">
        <f t="shared" si="60"/>
        <v>39375</v>
      </c>
      <c r="I303" s="46"/>
      <c r="J303" s="47"/>
      <c r="K303" s="47"/>
    </row>
    <row r="304" spans="1:11" s="16" customFormat="1" ht="12" customHeight="1" x14ac:dyDescent="0.2">
      <c r="A304" s="31"/>
      <c r="B304" s="35"/>
      <c r="C304" s="53" t="s">
        <v>26</v>
      </c>
      <c r="D304" s="54" t="s">
        <v>27</v>
      </c>
      <c r="E304" s="43">
        <v>28400</v>
      </c>
      <c r="F304" s="43">
        <v>4000</v>
      </c>
      <c r="G304" s="43"/>
      <c r="H304" s="41">
        <f t="shared" si="60"/>
        <v>32400</v>
      </c>
      <c r="I304" s="46"/>
      <c r="J304" s="47"/>
      <c r="K304" s="47"/>
    </row>
    <row r="305" spans="1:11" s="16" customFormat="1" ht="12" customHeight="1" x14ac:dyDescent="0.2">
      <c r="A305" s="31"/>
      <c r="B305" s="35"/>
      <c r="C305" s="25">
        <v>4710</v>
      </c>
      <c r="D305" s="54" t="s">
        <v>37</v>
      </c>
      <c r="E305" s="43">
        <v>10466</v>
      </c>
      <c r="F305" s="43"/>
      <c r="G305" s="43">
        <v>1000</v>
      </c>
      <c r="H305" s="41">
        <f t="shared" si="60"/>
        <v>9466</v>
      </c>
      <c r="I305" s="46"/>
      <c r="J305" s="47"/>
      <c r="K305" s="47"/>
    </row>
    <row r="306" spans="1:11" s="16" customFormat="1" ht="12" customHeight="1" x14ac:dyDescent="0.2">
      <c r="A306" s="31"/>
      <c r="B306" s="35"/>
      <c r="C306" s="25">
        <v>4790</v>
      </c>
      <c r="D306" s="39" t="s">
        <v>201</v>
      </c>
      <c r="E306" s="43">
        <v>1667612</v>
      </c>
      <c r="F306" s="43"/>
      <c r="G306" s="43">
        <v>39375</v>
      </c>
      <c r="H306" s="41">
        <f t="shared" si="60"/>
        <v>1628237</v>
      </c>
      <c r="I306" s="46"/>
      <c r="J306" s="47"/>
      <c r="K306" s="47"/>
    </row>
    <row r="307" spans="1:11" s="16" customFormat="1" ht="11.45" customHeight="1" x14ac:dyDescent="0.2">
      <c r="A307" s="31"/>
      <c r="B307" s="70">
        <v>80146</v>
      </c>
      <c r="C307" s="53"/>
      <c r="D307" s="36" t="s">
        <v>48</v>
      </c>
      <c r="E307" s="37">
        <v>1489573</v>
      </c>
      <c r="F307" s="38">
        <f>SUM(F308)</f>
        <v>16100</v>
      </c>
      <c r="G307" s="38">
        <f>SUM(G308)</f>
        <v>16100</v>
      </c>
      <c r="H307" s="37">
        <f>SUM(E307+F307-G307)</f>
        <v>1489573</v>
      </c>
      <c r="I307" s="46"/>
      <c r="J307" s="47"/>
      <c r="K307" s="47"/>
    </row>
    <row r="308" spans="1:11" s="16" customFormat="1" ht="11.45" customHeight="1" x14ac:dyDescent="0.2">
      <c r="A308" s="31"/>
      <c r="B308" s="35"/>
      <c r="C308" s="26"/>
      <c r="D308" s="560" t="s">
        <v>19</v>
      </c>
      <c r="E308" s="554">
        <v>1391362.73</v>
      </c>
      <c r="F308" s="566">
        <f>SUM(F309:F311)</f>
        <v>16100</v>
      </c>
      <c r="G308" s="566">
        <f>SUM(G309:G311)</f>
        <v>16100</v>
      </c>
      <c r="H308" s="557">
        <f t="shared" ref="H308:H311" si="61">SUM(E308+F308-G308)</f>
        <v>1391362.73</v>
      </c>
      <c r="I308" s="46"/>
      <c r="J308" s="47"/>
      <c r="K308" s="47"/>
    </row>
    <row r="309" spans="1:11" s="16" customFormat="1" ht="12" customHeight="1" x14ac:dyDescent="0.2">
      <c r="A309" s="31"/>
      <c r="B309" s="35"/>
      <c r="C309" s="25">
        <v>4300</v>
      </c>
      <c r="D309" s="39" t="s">
        <v>15</v>
      </c>
      <c r="E309" s="41">
        <v>261008.67</v>
      </c>
      <c r="F309" s="40"/>
      <c r="G309" s="40">
        <f>7600+5000</f>
        <v>12600</v>
      </c>
      <c r="H309" s="42">
        <f t="shared" si="61"/>
        <v>248408.67</v>
      </c>
      <c r="I309" s="46"/>
      <c r="J309" s="47"/>
      <c r="K309" s="47"/>
    </row>
    <row r="310" spans="1:11" s="16" customFormat="1" ht="12" customHeight="1" x14ac:dyDescent="0.2">
      <c r="A310" s="31"/>
      <c r="B310" s="35"/>
      <c r="C310" s="25">
        <v>4410</v>
      </c>
      <c r="D310" s="54" t="s">
        <v>33</v>
      </c>
      <c r="E310" s="41">
        <v>73350</v>
      </c>
      <c r="F310" s="40"/>
      <c r="G310" s="40">
        <f>1000+2500</f>
        <v>3500</v>
      </c>
      <c r="H310" s="42">
        <f t="shared" si="61"/>
        <v>69850</v>
      </c>
      <c r="I310" s="46"/>
      <c r="J310" s="47"/>
      <c r="K310" s="47"/>
    </row>
    <row r="311" spans="1:11" s="16" customFormat="1" ht="21.75" customHeight="1" x14ac:dyDescent="0.2">
      <c r="A311" s="63"/>
      <c r="B311" s="64"/>
      <c r="C311" s="150">
        <v>4700</v>
      </c>
      <c r="D311" s="174" t="s">
        <v>49</v>
      </c>
      <c r="E311" s="37">
        <v>663997.06000000006</v>
      </c>
      <c r="F311" s="175">
        <f>8600+7500</f>
        <v>16100</v>
      </c>
      <c r="G311" s="175"/>
      <c r="H311" s="38">
        <f t="shared" si="61"/>
        <v>680097.06</v>
      </c>
      <c r="I311" s="46"/>
      <c r="J311" s="47"/>
      <c r="K311" s="47"/>
    </row>
    <row r="312" spans="1:11" s="16" customFormat="1" ht="11.45" customHeight="1" x14ac:dyDescent="0.2">
      <c r="A312" s="31" t="s">
        <v>202</v>
      </c>
      <c r="B312" s="35">
        <v>80148</v>
      </c>
      <c r="C312" s="26"/>
      <c r="D312" s="72" t="s">
        <v>50</v>
      </c>
      <c r="E312" s="38">
        <v>4281805</v>
      </c>
      <c r="F312" s="38">
        <f>SUM(F313)</f>
        <v>3500</v>
      </c>
      <c r="G312" s="38">
        <f>SUM(G313)</f>
        <v>4016</v>
      </c>
      <c r="H312" s="37">
        <f>SUM(E312+F312-G312)</f>
        <v>4281289</v>
      </c>
      <c r="I312" s="46"/>
      <c r="J312" s="47"/>
      <c r="K312" s="47"/>
    </row>
    <row r="313" spans="1:11" s="16" customFormat="1" ht="11.45" customHeight="1" x14ac:dyDescent="0.2">
      <c r="A313" s="31"/>
      <c r="B313" s="35"/>
      <c r="C313" s="26"/>
      <c r="D313" s="560" t="s">
        <v>19</v>
      </c>
      <c r="E313" s="557">
        <v>4269305</v>
      </c>
      <c r="F313" s="557">
        <f>SUM(F314:F317)</f>
        <v>3500</v>
      </c>
      <c r="G313" s="557">
        <f>SUM(G314:G317)</f>
        <v>4016</v>
      </c>
      <c r="H313" s="557">
        <f t="shared" ref="H313:H317" si="62">SUM(E313+F313-G313)</f>
        <v>4268789</v>
      </c>
      <c r="I313" s="46"/>
      <c r="J313" s="47"/>
      <c r="K313" s="47"/>
    </row>
    <row r="314" spans="1:11" s="16" customFormat="1" ht="11.45" customHeight="1" x14ac:dyDescent="0.2">
      <c r="A314" s="31"/>
      <c r="B314" s="35"/>
      <c r="C314" s="25">
        <v>4040</v>
      </c>
      <c r="D314" s="39" t="s">
        <v>22</v>
      </c>
      <c r="E314" s="41">
        <v>196877</v>
      </c>
      <c r="F314" s="42"/>
      <c r="G314" s="42">
        <v>516</v>
      </c>
      <c r="H314" s="42">
        <f t="shared" si="62"/>
        <v>196361</v>
      </c>
      <c r="I314" s="46"/>
      <c r="J314" s="47"/>
      <c r="K314" s="47"/>
    </row>
    <row r="315" spans="1:11" s="16" customFormat="1" ht="11.45" customHeight="1" x14ac:dyDescent="0.2">
      <c r="A315" s="31"/>
      <c r="B315" s="35"/>
      <c r="C315" s="53" t="s">
        <v>26</v>
      </c>
      <c r="D315" s="54" t="s">
        <v>27</v>
      </c>
      <c r="E315" s="41">
        <v>51794</v>
      </c>
      <c r="F315" s="42">
        <v>2000</v>
      </c>
      <c r="G315" s="42">
        <v>1500</v>
      </c>
      <c r="H315" s="42">
        <f t="shared" si="62"/>
        <v>52294</v>
      </c>
      <c r="I315" s="46"/>
      <c r="J315" s="47"/>
      <c r="K315" s="47"/>
    </row>
    <row r="316" spans="1:11" s="16" customFormat="1" ht="11.45" customHeight="1" x14ac:dyDescent="0.2">
      <c r="A316" s="31"/>
      <c r="B316" s="35"/>
      <c r="C316" s="25">
        <v>4260</v>
      </c>
      <c r="D316" s="39" t="s">
        <v>29</v>
      </c>
      <c r="E316" s="41">
        <v>152351</v>
      </c>
      <c r="F316" s="42"/>
      <c r="G316" s="42">
        <v>2000</v>
      </c>
      <c r="H316" s="42">
        <f t="shared" si="62"/>
        <v>150351</v>
      </c>
      <c r="I316" s="46"/>
      <c r="J316" s="47"/>
      <c r="K316" s="47"/>
    </row>
    <row r="317" spans="1:11" s="16" customFormat="1" ht="11.45" customHeight="1" x14ac:dyDescent="0.2">
      <c r="A317" s="31"/>
      <c r="B317" s="35"/>
      <c r="C317" s="25">
        <v>4300</v>
      </c>
      <c r="D317" s="39" t="s">
        <v>15</v>
      </c>
      <c r="E317" s="41">
        <v>28917</v>
      </c>
      <c r="F317" s="42">
        <v>1500</v>
      </c>
      <c r="G317" s="42"/>
      <c r="H317" s="42">
        <f t="shared" si="62"/>
        <v>30417</v>
      </c>
      <c r="I317" s="46"/>
      <c r="J317" s="47"/>
      <c r="K317" s="47"/>
    </row>
    <row r="318" spans="1:11" s="16" customFormat="1" ht="11.45" customHeight="1" x14ac:dyDescent="0.2">
      <c r="A318" s="31"/>
      <c r="B318" s="35">
        <v>80149</v>
      </c>
      <c r="C318" s="53"/>
      <c r="D318" s="54" t="s">
        <v>51</v>
      </c>
      <c r="E318" s="42"/>
      <c r="F318" s="42"/>
      <c r="G318" s="42"/>
      <c r="H318" s="42"/>
      <c r="I318" s="46"/>
      <c r="J318" s="47"/>
      <c r="K318" s="47"/>
    </row>
    <row r="319" spans="1:11" s="16" customFormat="1" ht="11.45" customHeight="1" x14ac:dyDescent="0.2">
      <c r="A319" s="31"/>
      <c r="B319" s="35"/>
      <c r="C319" s="53"/>
      <c r="D319" s="54" t="s">
        <v>203</v>
      </c>
      <c r="E319" s="42"/>
      <c r="F319" s="42"/>
      <c r="G319" s="42"/>
      <c r="H319" s="42"/>
      <c r="I319" s="46"/>
      <c r="J319" s="47"/>
      <c r="K319" s="47"/>
    </row>
    <row r="320" spans="1:11" s="16" customFormat="1" ht="11.45" customHeight="1" x14ac:dyDescent="0.2">
      <c r="A320" s="31"/>
      <c r="B320" s="35"/>
      <c r="C320" s="53"/>
      <c r="D320" s="54" t="s">
        <v>204</v>
      </c>
      <c r="E320" s="42"/>
      <c r="F320" s="42"/>
      <c r="G320" s="42"/>
      <c r="H320" s="42"/>
      <c r="I320" s="46"/>
      <c r="J320" s="47"/>
      <c r="K320" s="47"/>
    </row>
    <row r="321" spans="1:11" s="16" customFormat="1" ht="11.45" customHeight="1" x14ac:dyDescent="0.2">
      <c r="A321" s="31"/>
      <c r="B321" s="35"/>
      <c r="C321" s="26"/>
      <c r="D321" s="36" t="s">
        <v>205</v>
      </c>
      <c r="E321" s="37">
        <v>5188746.68</v>
      </c>
      <c r="F321" s="38">
        <f>SUM(F322,F324)</f>
        <v>308280</v>
      </c>
      <c r="G321" s="38">
        <f>SUM(G322,G324)</f>
        <v>27280</v>
      </c>
      <c r="H321" s="37">
        <f>SUM(E321+F321-G321)</f>
        <v>5469746.6799999997</v>
      </c>
      <c r="I321" s="46"/>
      <c r="J321" s="47"/>
      <c r="K321" s="47"/>
    </row>
    <row r="322" spans="1:11" s="16" customFormat="1" ht="11.45" customHeight="1" x14ac:dyDescent="0.2">
      <c r="A322" s="31"/>
      <c r="B322" s="35"/>
      <c r="C322" s="26"/>
      <c r="D322" s="556" t="s">
        <v>185</v>
      </c>
      <c r="E322" s="557">
        <v>2385050.6800000002</v>
      </c>
      <c r="F322" s="557">
        <f>SUM(F323:F323)</f>
        <v>280000</v>
      </c>
      <c r="G322" s="557">
        <f>SUM(G323:G323)</f>
        <v>0</v>
      </c>
      <c r="H322" s="557">
        <f t="shared" ref="H322:H327" si="63">SUM(E322+F322-G322)</f>
        <v>2665050.6800000002</v>
      </c>
      <c r="I322" s="46"/>
      <c r="J322" s="47"/>
      <c r="K322" s="47"/>
    </row>
    <row r="323" spans="1:11" s="16" customFormat="1" ht="21.75" customHeight="1" x14ac:dyDescent="0.2">
      <c r="A323" s="31"/>
      <c r="B323" s="35"/>
      <c r="C323" s="55">
        <v>2540</v>
      </c>
      <c r="D323" s="62" t="s">
        <v>186</v>
      </c>
      <c r="E323" s="42">
        <v>2332418.6800000002</v>
      </c>
      <c r="F323" s="42">
        <v>280000</v>
      </c>
      <c r="G323" s="42"/>
      <c r="H323" s="42">
        <f t="shared" si="63"/>
        <v>2612418.6800000002</v>
      </c>
      <c r="I323" s="46"/>
      <c r="J323" s="47"/>
      <c r="K323" s="47"/>
    </row>
    <row r="324" spans="1:11" s="16" customFormat="1" ht="11.45" customHeight="1" x14ac:dyDescent="0.2">
      <c r="A324" s="31"/>
      <c r="B324" s="31"/>
      <c r="C324" s="26"/>
      <c r="D324" s="560" t="s">
        <v>19</v>
      </c>
      <c r="E324" s="557">
        <v>2803696</v>
      </c>
      <c r="F324" s="557">
        <f>SUM(F325:F327)</f>
        <v>28280</v>
      </c>
      <c r="G324" s="557">
        <f>SUM(G325:G327)</f>
        <v>27280</v>
      </c>
      <c r="H324" s="557">
        <f t="shared" si="63"/>
        <v>2804696</v>
      </c>
      <c r="I324" s="46"/>
      <c r="J324" s="47"/>
      <c r="K324" s="47"/>
    </row>
    <row r="325" spans="1:11" s="16" customFormat="1" ht="11.45" customHeight="1" x14ac:dyDescent="0.2">
      <c r="A325" s="31"/>
      <c r="B325" s="31"/>
      <c r="C325" s="25">
        <v>3020</v>
      </c>
      <c r="D325" s="39" t="s">
        <v>20</v>
      </c>
      <c r="E325" s="41">
        <v>1000</v>
      </c>
      <c r="F325" s="42">
        <f>1000+1000</f>
        <v>2000</v>
      </c>
      <c r="G325" s="42"/>
      <c r="H325" s="42">
        <f t="shared" si="63"/>
        <v>3000</v>
      </c>
      <c r="I325" s="46"/>
      <c r="J325" s="47"/>
      <c r="K325" s="47"/>
    </row>
    <row r="326" spans="1:11" s="16" customFormat="1" ht="20.25" customHeight="1" x14ac:dyDescent="0.2">
      <c r="A326" s="31"/>
      <c r="B326" s="31"/>
      <c r="C326" s="55">
        <v>3040</v>
      </c>
      <c r="D326" s="62" t="s">
        <v>188</v>
      </c>
      <c r="E326" s="41">
        <v>0</v>
      </c>
      <c r="F326" s="42">
        <v>26280</v>
      </c>
      <c r="G326" s="42"/>
      <c r="H326" s="42">
        <f t="shared" si="63"/>
        <v>26280</v>
      </c>
      <c r="I326" s="46"/>
      <c r="J326" s="47"/>
      <c r="K326" s="47"/>
    </row>
    <row r="327" spans="1:11" s="16" customFormat="1" ht="11.45" customHeight="1" x14ac:dyDescent="0.2">
      <c r="A327" s="31"/>
      <c r="B327" s="31"/>
      <c r="C327" s="57">
        <v>4790</v>
      </c>
      <c r="D327" s="58" t="s">
        <v>38</v>
      </c>
      <c r="E327" s="41">
        <v>2015023</v>
      </c>
      <c r="F327" s="42"/>
      <c r="G327" s="42">
        <f>1000+26280</f>
        <v>27280</v>
      </c>
      <c r="H327" s="42">
        <f t="shared" si="63"/>
        <v>1987743</v>
      </c>
      <c r="I327" s="46"/>
      <c r="J327" s="47"/>
      <c r="K327" s="47"/>
    </row>
    <row r="328" spans="1:11" s="16" customFormat="1" ht="12" customHeight="1" x14ac:dyDescent="0.2">
      <c r="A328" s="31"/>
      <c r="B328" s="35">
        <v>80150</v>
      </c>
      <c r="C328" s="53"/>
      <c r="D328" s="54" t="s">
        <v>51</v>
      </c>
      <c r="E328" s="42"/>
      <c r="F328" s="42"/>
      <c r="G328" s="42"/>
      <c r="H328" s="42"/>
      <c r="I328" s="46"/>
      <c r="J328" s="47"/>
      <c r="K328" s="47"/>
    </row>
    <row r="329" spans="1:11" s="16" customFormat="1" ht="12" customHeight="1" x14ac:dyDescent="0.2">
      <c r="A329" s="31"/>
      <c r="B329" s="35"/>
      <c r="C329" s="53"/>
      <c r="D329" s="54" t="s">
        <v>52</v>
      </c>
      <c r="E329" s="42"/>
      <c r="F329" s="42"/>
      <c r="G329" s="42"/>
      <c r="H329" s="42"/>
      <c r="I329" s="46"/>
      <c r="J329" s="47"/>
      <c r="K329" s="47"/>
    </row>
    <row r="330" spans="1:11" s="16" customFormat="1" ht="12" customHeight="1" x14ac:dyDescent="0.2">
      <c r="A330" s="31"/>
      <c r="B330" s="35"/>
      <c r="C330" s="26"/>
      <c r="D330" s="36" t="s">
        <v>53</v>
      </c>
      <c r="E330" s="37">
        <v>10403267</v>
      </c>
      <c r="F330" s="38">
        <f>SUM(F331)</f>
        <v>74382</v>
      </c>
      <c r="G330" s="38">
        <f>SUM(G331)</f>
        <v>84497.2</v>
      </c>
      <c r="H330" s="37">
        <f>SUM(E330+F330-G330)</f>
        <v>10393151.800000001</v>
      </c>
      <c r="I330" s="46"/>
      <c r="J330" s="47"/>
      <c r="K330" s="47"/>
    </row>
    <row r="331" spans="1:11" s="16" customFormat="1" ht="12" customHeight="1" x14ac:dyDescent="0.2">
      <c r="A331" s="31"/>
      <c r="B331" s="35"/>
      <c r="C331" s="26"/>
      <c r="D331" s="560" t="s">
        <v>19</v>
      </c>
      <c r="E331" s="557">
        <v>9853744</v>
      </c>
      <c r="F331" s="557">
        <f>SUM(F332:F335)</f>
        <v>74382</v>
      </c>
      <c r="G331" s="557">
        <f>SUM(G332:G335)</f>
        <v>84497.2</v>
      </c>
      <c r="H331" s="557">
        <f t="shared" ref="H331:H335" si="64">SUM(E331+F331-G331)</f>
        <v>9843628.8000000007</v>
      </c>
      <c r="I331" s="46"/>
      <c r="J331" s="47"/>
      <c r="K331" s="47"/>
    </row>
    <row r="332" spans="1:11" s="16" customFormat="1" ht="21" customHeight="1" x14ac:dyDescent="0.2">
      <c r="A332" s="31"/>
      <c r="B332" s="35"/>
      <c r="C332" s="55">
        <v>3040</v>
      </c>
      <c r="D332" s="62" t="s">
        <v>188</v>
      </c>
      <c r="E332" s="43">
        <v>0</v>
      </c>
      <c r="F332" s="43">
        <v>74382</v>
      </c>
      <c r="G332" s="43"/>
      <c r="H332" s="42">
        <f t="shared" si="64"/>
        <v>74382</v>
      </c>
      <c r="I332" s="46"/>
      <c r="J332" s="47"/>
      <c r="K332" s="47"/>
    </row>
    <row r="333" spans="1:11" s="16" customFormat="1" ht="12" customHeight="1" x14ac:dyDescent="0.2">
      <c r="A333" s="31"/>
      <c r="B333" s="35"/>
      <c r="C333" s="25">
        <v>4240</v>
      </c>
      <c r="D333" s="39" t="s">
        <v>28</v>
      </c>
      <c r="E333" s="43">
        <v>122545</v>
      </c>
      <c r="F333" s="43"/>
      <c r="G333" s="43">
        <v>8115.2</v>
      </c>
      <c r="H333" s="42">
        <f t="shared" si="64"/>
        <v>114429.8</v>
      </c>
      <c r="I333" s="46"/>
      <c r="J333" s="47"/>
      <c r="K333" s="47"/>
    </row>
    <row r="334" spans="1:11" s="16" customFormat="1" ht="12" customHeight="1" x14ac:dyDescent="0.2">
      <c r="A334" s="31"/>
      <c r="B334" s="35"/>
      <c r="C334" s="25">
        <v>4710</v>
      </c>
      <c r="D334" s="54" t="s">
        <v>37</v>
      </c>
      <c r="E334" s="43">
        <v>38477</v>
      </c>
      <c r="F334" s="43"/>
      <c r="G334" s="43">
        <v>2000</v>
      </c>
      <c r="H334" s="42">
        <f t="shared" si="64"/>
        <v>36477</v>
      </c>
      <c r="I334" s="46"/>
      <c r="J334" s="47"/>
      <c r="K334" s="47"/>
    </row>
    <row r="335" spans="1:11" s="16" customFormat="1" ht="12" customHeight="1" x14ac:dyDescent="0.2">
      <c r="A335" s="31"/>
      <c r="B335" s="35"/>
      <c r="C335" s="57">
        <v>4790</v>
      </c>
      <c r="D335" s="58" t="s">
        <v>38</v>
      </c>
      <c r="E335" s="43">
        <v>7167077</v>
      </c>
      <c r="F335" s="43"/>
      <c r="G335" s="43">
        <v>74382</v>
      </c>
      <c r="H335" s="42">
        <f t="shared" si="64"/>
        <v>7092695</v>
      </c>
      <c r="I335" s="46"/>
      <c r="J335" s="47"/>
      <c r="K335" s="47"/>
    </row>
    <row r="336" spans="1:11" s="16" customFormat="1" ht="12" customHeight="1" x14ac:dyDescent="0.2">
      <c r="A336" s="31"/>
      <c r="B336" s="25">
        <v>80151</v>
      </c>
      <c r="C336" s="26"/>
      <c r="D336" s="36" t="s">
        <v>206</v>
      </c>
      <c r="E336" s="66">
        <v>758331</v>
      </c>
      <c r="F336" s="38">
        <f>SUM(F337,F339)</f>
        <v>0</v>
      </c>
      <c r="G336" s="38">
        <f>SUM(G337,G339)</f>
        <v>54000</v>
      </c>
      <c r="H336" s="37">
        <f>SUM(E336+F336-G336)</f>
        <v>704331</v>
      </c>
      <c r="I336" s="46"/>
      <c r="J336" s="47"/>
      <c r="K336" s="47"/>
    </row>
    <row r="337" spans="1:11" s="16" customFormat="1" ht="12" customHeight="1" x14ac:dyDescent="0.2">
      <c r="A337" s="31"/>
      <c r="B337" s="25"/>
      <c r="C337" s="26"/>
      <c r="D337" s="556" t="s">
        <v>185</v>
      </c>
      <c r="E337" s="557">
        <v>60410</v>
      </c>
      <c r="F337" s="557">
        <f>SUM(F338:F338)</f>
        <v>0</v>
      </c>
      <c r="G337" s="557">
        <f>SUM(G338:G338)</f>
        <v>50000</v>
      </c>
      <c r="H337" s="557">
        <f t="shared" ref="H337:H340" si="65">SUM(E337+F337-G337)</f>
        <v>10410</v>
      </c>
      <c r="I337" s="46"/>
      <c r="J337" s="47"/>
      <c r="K337" s="47"/>
    </row>
    <row r="338" spans="1:11" s="16" customFormat="1" ht="21.75" customHeight="1" x14ac:dyDescent="0.2">
      <c r="A338" s="31"/>
      <c r="B338" s="25"/>
      <c r="C338" s="55">
        <v>2540</v>
      </c>
      <c r="D338" s="62" t="s">
        <v>186</v>
      </c>
      <c r="E338" s="42">
        <v>60410</v>
      </c>
      <c r="F338" s="42"/>
      <c r="G338" s="42">
        <v>50000</v>
      </c>
      <c r="H338" s="42">
        <f t="shared" si="65"/>
        <v>10410</v>
      </c>
      <c r="I338" s="46"/>
      <c r="J338" s="47"/>
      <c r="K338" s="47"/>
    </row>
    <row r="339" spans="1:11" s="16" customFormat="1" ht="12" customHeight="1" x14ac:dyDescent="0.2">
      <c r="A339" s="31"/>
      <c r="B339" s="119"/>
      <c r="C339" s="26"/>
      <c r="D339" s="560" t="s">
        <v>19</v>
      </c>
      <c r="E339" s="557">
        <v>697921</v>
      </c>
      <c r="F339" s="557">
        <f>SUM(F340:F340)</f>
        <v>0</v>
      </c>
      <c r="G339" s="557">
        <f>SUM(G340:G340)</f>
        <v>4000</v>
      </c>
      <c r="H339" s="557">
        <f t="shared" si="65"/>
        <v>693921</v>
      </c>
      <c r="I339" s="46"/>
      <c r="J339" s="47"/>
      <c r="K339" s="47"/>
    </row>
    <row r="340" spans="1:11" s="16" customFormat="1" ht="12" customHeight="1" x14ac:dyDescent="0.2">
      <c r="A340" s="31"/>
      <c r="B340" s="25"/>
      <c r="C340" s="57">
        <v>4790</v>
      </c>
      <c r="D340" s="58" t="s">
        <v>38</v>
      </c>
      <c r="E340" s="41">
        <v>288946</v>
      </c>
      <c r="F340" s="42"/>
      <c r="G340" s="42">
        <v>4000</v>
      </c>
      <c r="H340" s="42">
        <f t="shared" si="65"/>
        <v>284946</v>
      </c>
      <c r="I340" s="46"/>
      <c r="J340" s="47"/>
      <c r="K340" s="47"/>
    </row>
    <row r="341" spans="1:11" s="16" customFormat="1" ht="12" customHeight="1" x14ac:dyDescent="0.2">
      <c r="A341" s="31"/>
      <c r="B341" s="35">
        <v>80152</v>
      </c>
      <c r="C341" s="53"/>
      <c r="D341" s="54" t="s">
        <v>51</v>
      </c>
      <c r="E341" s="43"/>
      <c r="F341" s="43"/>
      <c r="G341" s="43"/>
      <c r="H341" s="42"/>
      <c r="I341" s="46"/>
      <c r="J341" s="47"/>
      <c r="K341" s="47"/>
    </row>
    <row r="342" spans="1:11" s="16" customFormat="1" ht="12" customHeight="1" x14ac:dyDescent="0.2">
      <c r="A342" s="31"/>
      <c r="B342" s="35"/>
      <c r="C342" s="53"/>
      <c r="D342" s="54" t="s">
        <v>52</v>
      </c>
      <c r="E342" s="43"/>
      <c r="F342" s="43"/>
      <c r="G342" s="43"/>
      <c r="H342" s="42"/>
      <c r="I342" s="46"/>
      <c r="J342" s="47"/>
      <c r="K342" s="47"/>
    </row>
    <row r="343" spans="1:11" s="16" customFormat="1" ht="12" customHeight="1" x14ac:dyDescent="0.2">
      <c r="A343" s="31"/>
      <c r="B343" s="35"/>
      <c r="C343" s="53"/>
      <c r="D343" s="54" t="s">
        <v>207</v>
      </c>
      <c r="E343" s="43"/>
      <c r="F343" s="43"/>
      <c r="G343" s="43"/>
      <c r="H343" s="42"/>
      <c r="I343" s="46"/>
      <c r="J343" s="47"/>
      <c r="K343" s="47"/>
    </row>
    <row r="344" spans="1:11" s="16" customFormat="1" ht="12" customHeight="1" x14ac:dyDescent="0.2">
      <c r="A344" s="31"/>
      <c r="B344" s="35"/>
      <c r="C344" s="53"/>
      <c r="D344" s="70" t="s">
        <v>208</v>
      </c>
      <c r="E344" s="43"/>
      <c r="F344" s="43"/>
      <c r="G344" s="43"/>
      <c r="H344" s="42"/>
      <c r="I344" s="46"/>
      <c r="J344" s="47"/>
      <c r="K344" s="47"/>
    </row>
    <row r="345" spans="1:11" s="16" customFormat="1" ht="12" customHeight="1" x14ac:dyDescent="0.2">
      <c r="A345" s="31"/>
      <c r="B345" s="35"/>
      <c r="C345" s="53"/>
      <c r="D345" s="70" t="s">
        <v>209</v>
      </c>
      <c r="E345" s="43"/>
      <c r="F345" s="43"/>
      <c r="G345" s="43"/>
      <c r="H345" s="42"/>
      <c r="I345" s="46"/>
      <c r="J345" s="47"/>
      <c r="K345" s="47"/>
    </row>
    <row r="346" spans="1:11" s="16" customFormat="1" ht="12" customHeight="1" x14ac:dyDescent="0.2">
      <c r="A346" s="31"/>
      <c r="B346" s="35"/>
      <c r="C346" s="53"/>
      <c r="D346" s="54" t="s">
        <v>210</v>
      </c>
      <c r="E346" s="43"/>
      <c r="F346" s="43"/>
      <c r="G346" s="43"/>
      <c r="H346" s="42"/>
      <c r="I346" s="46"/>
      <c r="J346" s="47"/>
      <c r="K346" s="47"/>
    </row>
    <row r="347" spans="1:11" s="16" customFormat="1" ht="12" customHeight="1" x14ac:dyDescent="0.2">
      <c r="A347" s="31"/>
      <c r="B347" s="35"/>
      <c r="C347" s="53"/>
      <c r="D347" s="70" t="s">
        <v>211</v>
      </c>
      <c r="E347" s="43"/>
      <c r="F347" s="43"/>
      <c r="G347" s="43"/>
      <c r="H347" s="42"/>
      <c r="I347" s="46"/>
      <c r="J347" s="47"/>
      <c r="K347" s="47"/>
    </row>
    <row r="348" spans="1:11" s="16" customFormat="1" ht="12" customHeight="1" x14ac:dyDescent="0.2">
      <c r="A348" s="31"/>
      <c r="B348" s="35"/>
      <c r="C348" s="26"/>
      <c r="D348" s="68" t="s">
        <v>212</v>
      </c>
      <c r="E348" s="66">
        <v>4283135</v>
      </c>
      <c r="F348" s="38">
        <f>SUM(F349,F351)</f>
        <v>73390</v>
      </c>
      <c r="G348" s="38">
        <f>SUM(G349,G351)</f>
        <v>34370</v>
      </c>
      <c r="H348" s="37">
        <f>SUM(E348+F348-G348)</f>
        <v>4322155</v>
      </c>
      <c r="I348" s="46"/>
      <c r="J348" s="47"/>
      <c r="K348" s="47"/>
    </row>
    <row r="349" spans="1:11" s="16" customFormat="1" ht="12" customHeight="1" x14ac:dyDescent="0.2">
      <c r="A349" s="31"/>
      <c r="B349" s="35"/>
      <c r="C349" s="26"/>
      <c r="D349" s="556" t="s">
        <v>185</v>
      </c>
      <c r="E349" s="557">
        <v>803948</v>
      </c>
      <c r="F349" s="557">
        <f>SUM(F350:F350)</f>
        <v>40000</v>
      </c>
      <c r="G349" s="557">
        <f>SUM(G350:G350)</f>
        <v>0</v>
      </c>
      <c r="H349" s="557">
        <f t="shared" ref="H349:H357" si="66">SUM(E349+F349-G349)</f>
        <v>843948</v>
      </c>
      <c r="I349" s="46"/>
      <c r="J349" s="47"/>
      <c r="K349" s="47"/>
    </row>
    <row r="350" spans="1:11" s="16" customFormat="1" ht="21.75" customHeight="1" x14ac:dyDescent="0.2">
      <c r="A350" s="31"/>
      <c r="B350" s="35"/>
      <c r="C350" s="55">
        <v>2540</v>
      </c>
      <c r="D350" s="62" t="s">
        <v>186</v>
      </c>
      <c r="E350" s="42">
        <v>321339</v>
      </c>
      <c r="F350" s="42">
        <v>40000</v>
      </c>
      <c r="G350" s="42"/>
      <c r="H350" s="42">
        <f t="shared" si="66"/>
        <v>361339</v>
      </c>
      <c r="I350" s="46"/>
      <c r="J350" s="47"/>
      <c r="K350" s="47"/>
    </row>
    <row r="351" spans="1:11" s="16" customFormat="1" ht="12" customHeight="1" x14ac:dyDescent="0.2">
      <c r="A351" s="31"/>
      <c r="B351" s="119"/>
      <c r="C351" s="26"/>
      <c r="D351" s="560" t="s">
        <v>19</v>
      </c>
      <c r="E351" s="557">
        <v>3479187</v>
      </c>
      <c r="F351" s="557">
        <f>SUM(F352:F357)</f>
        <v>33390</v>
      </c>
      <c r="G351" s="557">
        <f>SUM(G352:G357)</f>
        <v>34370</v>
      </c>
      <c r="H351" s="557">
        <f t="shared" si="66"/>
        <v>3478207</v>
      </c>
      <c r="I351" s="46"/>
      <c r="J351" s="47"/>
      <c r="K351" s="47"/>
    </row>
    <row r="352" spans="1:11" s="16" customFormat="1" ht="12" customHeight="1" x14ac:dyDescent="0.2">
      <c r="A352" s="31"/>
      <c r="B352" s="25"/>
      <c r="C352" s="25">
        <v>3020</v>
      </c>
      <c r="D352" s="39" t="s">
        <v>20</v>
      </c>
      <c r="E352" s="41">
        <v>22140</v>
      </c>
      <c r="F352" s="42"/>
      <c r="G352" s="42">
        <v>22140</v>
      </c>
      <c r="H352" s="42">
        <f t="shared" si="66"/>
        <v>0</v>
      </c>
      <c r="I352" s="46"/>
      <c r="J352" s="47"/>
      <c r="K352" s="47"/>
    </row>
    <row r="353" spans="1:11" s="16" customFormat="1" ht="21.75" customHeight="1" x14ac:dyDescent="0.2">
      <c r="A353" s="31"/>
      <c r="B353" s="25"/>
      <c r="C353" s="55">
        <v>3040</v>
      </c>
      <c r="D353" s="62" t="s">
        <v>188</v>
      </c>
      <c r="E353" s="41">
        <v>0</v>
      </c>
      <c r="F353" s="42">
        <v>11250</v>
      </c>
      <c r="G353" s="42"/>
      <c r="H353" s="42">
        <f t="shared" si="66"/>
        <v>11250</v>
      </c>
      <c r="I353" s="46"/>
      <c r="J353" s="47"/>
      <c r="K353" s="47"/>
    </row>
    <row r="354" spans="1:11" s="16" customFormat="1" ht="12" customHeight="1" x14ac:dyDescent="0.2">
      <c r="A354" s="31"/>
      <c r="B354" s="25"/>
      <c r="C354" s="25">
        <v>4110</v>
      </c>
      <c r="D354" s="39" t="s">
        <v>23</v>
      </c>
      <c r="E354" s="41">
        <v>470962</v>
      </c>
      <c r="F354" s="42">
        <v>5500</v>
      </c>
      <c r="G354" s="42"/>
      <c r="H354" s="42">
        <f t="shared" si="66"/>
        <v>476462</v>
      </c>
      <c r="I354" s="46"/>
      <c r="J354" s="47"/>
      <c r="K354" s="47"/>
    </row>
    <row r="355" spans="1:11" s="16" customFormat="1" ht="12" customHeight="1" x14ac:dyDescent="0.2">
      <c r="A355" s="31"/>
      <c r="B355" s="25"/>
      <c r="C355" s="25">
        <v>4120</v>
      </c>
      <c r="D355" s="39" t="s">
        <v>24</v>
      </c>
      <c r="E355" s="41">
        <v>67175</v>
      </c>
      <c r="F355" s="42">
        <v>770</v>
      </c>
      <c r="G355" s="42"/>
      <c r="H355" s="42">
        <f t="shared" si="66"/>
        <v>67945</v>
      </c>
      <c r="I355" s="46"/>
      <c r="J355" s="47"/>
      <c r="K355" s="47"/>
    </row>
    <row r="356" spans="1:11" s="16" customFormat="1" ht="12" customHeight="1" x14ac:dyDescent="0.2">
      <c r="A356" s="31"/>
      <c r="B356" s="25"/>
      <c r="C356" s="25">
        <v>4710</v>
      </c>
      <c r="D356" s="54" t="s">
        <v>37</v>
      </c>
      <c r="E356" s="41">
        <v>30113</v>
      </c>
      <c r="F356" s="42"/>
      <c r="G356" s="42">
        <v>980</v>
      </c>
      <c r="H356" s="42">
        <f t="shared" si="66"/>
        <v>29133</v>
      </c>
      <c r="I356" s="46"/>
      <c r="J356" s="47"/>
      <c r="K356" s="47"/>
    </row>
    <row r="357" spans="1:11" s="16" customFormat="1" ht="12" customHeight="1" x14ac:dyDescent="0.2">
      <c r="A357" s="31"/>
      <c r="B357" s="25"/>
      <c r="C357" s="57">
        <v>4790</v>
      </c>
      <c r="D357" s="58" t="s">
        <v>38</v>
      </c>
      <c r="E357" s="41">
        <v>2548138</v>
      </c>
      <c r="F357" s="42">
        <v>15870</v>
      </c>
      <c r="G357" s="42">
        <v>11250</v>
      </c>
      <c r="H357" s="42">
        <f t="shared" si="66"/>
        <v>2552758</v>
      </c>
      <c r="I357" s="46"/>
      <c r="J357" s="47"/>
      <c r="K357" s="47"/>
    </row>
    <row r="358" spans="1:11" s="16" customFormat="1" ht="12" customHeight="1" x14ac:dyDescent="0.2">
      <c r="A358" s="31"/>
      <c r="B358" s="25">
        <v>80195</v>
      </c>
      <c r="C358" s="26"/>
      <c r="D358" s="36" t="s">
        <v>14</v>
      </c>
      <c r="E358" s="37">
        <v>21175996.260000002</v>
      </c>
      <c r="F358" s="38">
        <f>SUM(F359)</f>
        <v>100</v>
      </c>
      <c r="G358" s="38">
        <f>SUM(G359)</f>
        <v>100</v>
      </c>
      <c r="H358" s="37">
        <f>SUM(E358+F358-G358)</f>
        <v>21175996.260000002</v>
      </c>
      <c r="I358" s="46"/>
      <c r="J358" s="47"/>
      <c r="K358" s="47"/>
    </row>
    <row r="359" spans="1:11" s="16" customFormat="1" ht="11.25" customHeight="1" x14ac:dyDescent="0.2">
      <c r="A359" s="31"/>
      <c r="B359" s="25"/>
      <c r="C359" s="26"/>
      <c r="D359" s="560" t="s">
        <v>19</v>
      </c>
      <c r="E359" s="554">
        <v>1912155</v>
      </c>
      <c r="F359" s="555">
        <f>SUM(F360:F361)</f>
        <v>100</v>
      </c>
      <c r="G359" s="555">
        <f>SUM(G360:G361)</f>
        <v>100</v>
      </c>
      <c r="H359" s="557">
        <f t="shared" ref="H359:H367" si="67">SUM(E359+F359-G359)</f>
        <v>1912155</v>
      </c>
      <c r="I359" s="46"/>
      <c r="J359" s="47"/>
      <c r="K359" s="47"/>
    </row>
    <row r="360" spans="1:11" s="16" customFormat="1" ht="12" customHeight="1" x14ac:dyDescent="0.2">
      <c r="A360" s="31"/>
      <c r="B360" s="25"/>
      <c r="C360" s="25">
        <v>4010</v>
      </c>
      <c r="D360" s="39" t="s">
        <v>21</v>
      </c>
      <c r="E360" s="43">
        <v>25562</v>
      </c>
      <c r="F360" s="40">
        <v>100</v>
      </c>
      <c r="G360" s="40"/>
      <c r="H360" s="42">
        <f t="shared" si="67"/>
        <v>25662</v>
      </c>
      <c r="I360" s="46"/>
      <c r="J360" s="47"/>
      <c r="K360" s="47"/>
    </row>
    <row r="361" spans="1:11" s="16" customFormat="1" ht="12" customHeight="1" x14ac:dyDescent="0.2">
      <c r="A361" s="31"/>
      <c r="B361" s="25"/>
      <c r="C361" s="57">
        <v>4790</v>
      </c>
      <c r="D361" s="58" t="s">
        <v>38</v>
      </c>
      <c r="E361" s="43">
        <v>31706</v>
      </c>
      <c r="F361" s="40"/>
      <c r="G361" s="40">
        <v>100</v>
      </c>
      <c r="H361" s="42">
        <f t="shared" si="67"/>
        <v>31606</v>
      </c>
      <c r="I361" s="46"/>
      <c r="J361" s="47"/>
      <c r="K361" s="47"/>
    </row>
    <row r="362" spans="1:11" s="16" customFormat="1" ht="12" customHeight="1" thickBot="1" x14ac:dyDescent="0.25">
      <c r="A362" s="32" t="s">
        <v>213</v>
      </c>
      <c r="B362" s="31"/>
      <c r="C362" s="32"/>
      <c r="D362" s="33" t="s">
        <v>214</v>
      </c>
      <c r="E362" s="30">
        <v>6770174.7400000002</v>
      </c>
      <c r="F362" s="34">
        <f>SUM(F363)</f>
        <v>20000</v>
      </c>
      <c r="G362" s="34">
        <f>SUM(G363)</f>
        <v>20000</v>
      </c>
      <c r="H362" s="30">
        <f t="shared" si="67"/>
        <v>6770174.7400000002</v>
      </c>
      <c r="I362" s="46"/>
      <c r="J362" s="47"/>
      <c r="K362" s="47"/>
    </row>
    <row r="363" spans="1:11" s="16" customFormat="1" ht="12" customHeight="1" thickTop="1" x14ac:dyDescent="0.2">
      <c r="A363" s="176"/>
      <c r="B363" s="70">
        <v>85154</v>
      </c>
      <c r="C363" s="159"/>
      <c r="D363" s="68" t="s">
        <v>215</v>
      </c>
      <c r="E363" s="66">
        <v>6016474.7400000002</v>
      </c>
      <c r="F363" s="38">
        <f>SUM(F364)</f>
        <v>20000</v>
      </c>
      <c r="G363" s="38">
        <f>SUM(G364)</f>
        <v>20000</v>
      </c>
      <c r="H363" s="37">
        <f t="shared" si="67"/>
        <v>6016474.7400000002</v>
      </c>
      <c r="I363" s="46"/>
      <c r="J363" s="47"/>
      <c r="K363" s="47"/>
    </row>
    <row r="364" spans="1:11" s="16" customFormat="1" ht="12" customHeight="1" x14ac:dyDescent="0.2">
      <c r="A364" s="119"/>
      <c r="B364" s="31"/>
      <c r="C364" s="25"/>
      <c r="D364" s="561" t="s">
        <v>216</v>
      </c>
      <c r="E364" s="557">
        <v>2970290</v>
      </c>
      <c r="F364" s="557">
        <f>SUM(F365:F366)</f>
        <v>20000</v>
      </c>
      <c r="G364" s="557">
        <f>SUM(G365:G366)</f>
        <v>20000</v>
      </c>
      <c r="H364" s="554">
        <f>SUM(E364+F364-G364)</f>
        <v>2970290</v>
      </c>
      <c r="I364" s="46"/>
      <c r="J364" s="47"/>
      <c r="K364" s="47"/>
    </row>
    <row r="365" spans="1:11" s="16" customFormat="1" ht="12" customHeight="1" x14ac:dyDescent="0.2">
      <c r="A365" s="119"/>
      <c r="B365" s="31"/>
      <c r="C365" s="53" t="s">
        <v>26</v>
      </c>
      <c r="D365" s="54" t="s">
        <v>27</v>
      </c>
      <c r="E365" s="43">
        <v>20000</v>
      </c>
      <c r="F365" s="43">
        <v>20000</v>
      </c>
      <c r="G365" s="43"/>
      <c r="H365" s="43">
        <f t="shared" ref="H365:H366" si="68">SUM(E365+F365-G365)</f>
        <v>40000</v>
      </c>
      <c r="I365" s="46"/>
      <c r="J365" s="47"/>
      <c r="K365" s="47"/>
    </row>
    <row r="366" spans="1:11" s="16" customFormat="1" ht="12" customHeight="1" x14ac:dyDescent="0.2">
      <c r="A366" s="161"/>
      <c r="B366" s="63"/>
      <c r="C366" s="65">
        <v>4280</v>
      </c>
      <c r="D366" s="64" t="s">
        <v>31</v>
      </c>
      <c r="E366" s="66">
        <v>1356344</v>
      </c>
      <c r="F366" s="66"/>
      <c r="G366" s="66">
        <v>20000</v>
      </c>
      <c r="H366" s="66">
        <f t="shared" si="68"/>
        <v>1336344</v>
      </c>
      <c r="I366" s="46"/>
      <c r="J366" s="47"/>
      <c r="K366" s="47"/>
    </row>
    <row r="367" spans="1:11" s="16" customFormat="1" ht="12" customHeight="1" thickBot="1" x14ac:dyDescent="0.25">
      <c r="A367" s="32" t="s">
        <v>217</v>
      </c>
      <c r="B367" s="31"/>
      <c r="C367" s="32"/>
      <c r="D367" s="33" t="s">
        <v>113</v>
      </c>
      <c r="E367" s="30">
        <v>74224145.63000001</v>
      </c>
      <c r="F367" s="34">
        <f>SUM(F368,F379,F386,F389,F395,F400,F406)</f>
        <v>1216618</v>
      </c>
      <c r="G367" s="34">
        <f>SUM(G368,G379,G386,G389,G395,G400,G406)</f>
        <v>255585</v>
      </c>
      <c r="H367" s="30">
        <f t="shared" si="67"/>
        <v>75185178.63000001</v>
      </c>
      <c r="I367" s="46"/>
      <c r="J367" s="47"/>
      <c r="K367" s="47"/>
    </row>
    <row r="368" spans="1:11" s="16" customFormat="1" ht="12" customHeight="1" thickTop="1" x14ac:dyDescent="0.2">
      <c r="A368" s="32"/>
      <c r="B368" s="35">
        <v>85202</v>
      </c>
      <c r="C368" s="26"/>
      <c r="D368" s="148" t="s">
        <v>114</v>
      </c>
      <c r="E368" s="37">
        <v>19314164.190000001</v>
      </c>
      <c r="F368" s="38">
        <f>SUM(F369,F375)</f>
        <v>629640</v>
      </c>
      <c r="G368" s="38">
        <f>SUM(G369,G375)</f>
        <v>51840</v>
      </c>
      <c r="H368" s="37">
        <f>SUM(E368+F368-G368)</f>
        <v>19891964.190000001</v>
      </c>
      <c r="I368" s="46"/>
      <c r="J368" s="47"/>
      <c r="K368" s="47"/>
    </row>
    <row r="369" spans="1:11" s="16" customFormat="1" ht="12" customHeight="1" x14ac:dyDescent="0.2">
      <c r="A369" s="32"/>
      <c r="B369" s="35"/>
      <c r="C369" s="26"/>
      <c r="D369" s="560" t="s">
        <v>218</v>
      </c>
      <c r="E369" s="554">
        <v>4802278.1900000004</v>
      </c>
      <c r="F369" s="566">
        <f>SUM(F370:F374)</f>
        <v>413640</v>
      </c>
      <c r="G369" s="566">
        <f>SUM(G370:G374)</f>
        <v>51840</v>
      </c>
      <c r="H369" s="557">
        <f t="shared" ref="H369:H384" si="69">SUM(E369+F369-G369)</f>
        <v>5164078.1900000004</v>
      </c>
      <c r="I369" s="46"/>
      <c r="J369" s="47"/>
      <c r="K369" s="47"/>
    </row>
    <row r="370" spans="1:11" s="16" customFormat="1" ht="12" customHeight="1" x14ac:dyDescent="0.2">
      <c r="A370" s="32"/>
      <c r="B370" s="35"/>
      <c r="C370" s="25">
        <v>4010</v>
      </c>
      <c r="D370" s="39" t="s">
        <v>21</v>
      </c>
      <c r="E370" s="40">
        <v>2413058</v>
      </c>
      <c r="F370" s="40">
        <v>302029</v>
      </c>
      <c r="G370" s="177"/>
      <c r="H370" s="42">
        <f t="shared" si="69"/>
        <v>2715087</v>
      </c>
      <c r="I370" s="46"/>
      <c r="J370" s="47"/>
      <c r="K370" s="47"/>
    </row>
    <row r="371" spans="1:11" s="16" customFormat="1" ht="12" customHeight="1" x14ac:dyDescent="0.2">
      <c r="A371" s="32"/>
      <c r="B371" s="35"/>
      <c r="C371" s="25">
        <v>4110</v>
      </c>
      <c r="D371" s="39" t="s">
        <v>23</v>
      </c>
      <c r="E371" s="40">
        <v>464948</v>
      </c>
      <c r="F371" s="40">
        <v>52372</v>
      </c>
      <c r="G371" s="177"/>
      <c r="H371" s="42">
        <f t="shared" si="69"/>
        <v>517320</v>
      </c>
      <c r="I371" s="46"/>
      <c r="J371" s="47"/>
      <c r="K371" s="47"/>
    </row>
    <row r="372" spans="1:11" s="16" customFormat="1" ht="12" customHeight="1" x14ac:dyDescent="0.2">
      <c r="A372" s="32"/>
      <c r="B372" s="35"/>
      <c r="C372" s="25">
        <v>4120</v>
      </c>
      <c r="D372" s="39" t="s">
        <v>24</v>
      </c>
      <c r="E372" s="40">
        <v>68727</v>
      </c>
      <c r="F372" s="40">
        <v>7399</v>
      </c>
      <c r="G372" s="177"/>
      <c r="H372" s="42">
        <f t="shared" si="69"/>
        <v>76126</v>
      </c>
      <c r="I372" s="46"/>
      <c r="J372" s="47"/>
      <c r="K372" s="47"/>
    </row>
    <row r="373" spans="1:11" s="16" customFormat="1" ht="12" customHeight="1" x14ac:dyDescent="0.2">
      <c r="A373" s="32"/>
      <c r="B373" s="35"/>
      <c r="C373" s="25">
        <v>4220</v>
      </c>
      <c r="D373" s="39" t="s">
        <v>219</v>
      </c>
      <c r="E373" s="40">
        <v>355518</v>
      </c>
      <c r="F373" s="40"/>
      <c r="G373" s="40">
        <v>51840</v>
      </c>
      <c r="H373" s="42">
        <f t="shared" si="69"/>
        <v>303678</v>
      </c>
      <c r="I373" s="46"/>
      <c r="J373" s="47"/>
      <c r="K373" s="47"/>
    </row>
    <row r="374" spans="1:11" s="16" customFormat="1" ht="12" customHeight="1" x14ac:dyDescent="0.2">
      <c r="A374" s="32"/>
      <c r="B374" s="35"/>
      <c r="C374" s="25">
        <v>4300</v>
      </c>
      <c r="D374" s="39" t="s">
        <v>15</v>
      </c>
      <c r="E374" s="40">
        <v>155890.43</v>
      </c>
      <c r="F374" s="40">
        <v>51840</v>
      </c>
      <c r="G374" s="177"/>
      <c r="H374" s="42">
        <f t="shared" si="69"/>
        <v>207730.43</v>
      </c>
      <c r="I374" s="46"/>
      <c r="J374" s="47"/>
      <c r="K374" s="47"/>
    </row>
    <row r="375" spans="1:11" s="16" customFormat="1" ht="12" customHeight="1" x14ac:dyDescent="0.2">
      <c r="A375" s="32"/>
      <c r="B375" s="35"/>
      <c r="C375" s="26"/>
      <c r="D375" s="560" t="s">
        <v>220</v>
      </c>
      <c r="E375" s="554">
        <v>4042925.9</v>
      </c>
      <c r="F375" s="566">
        <f>SUM(F376:F378)</f>
        <v>216000</v>
      </c>
      <c r="G375" s="566">
        <f>SUM(G376:G378)</f>
        <v>0</v>
      </c>
      <c r="H375" s="557">
        <f t="shared" si="69"/>
        <v>4258925.9000000004</v>
      </c>
      <c r="I375" s="46"/>
      <c r="J375" s="47"/>
      <c r="K375" s="47"/>
    </row>
    <row r="376" spans="1:11" s="16" customFormat="1" ht="12" customHeight="1" x14ac:dyDescent="0.2">
      <c r="A376" s="32"/>
      <c r="B376" s="35"/>
      <c r="C376" s="25">
        <v>4010</v>
      </c>
      <c r="D376" s="39" t="s">
        <v>21</v>
      </c>
      <c r="E376" s="40">
        <v>2256008</v>
      </c>
      <c r="F376" s="40">
        <v>180496</v>
      </c>
      <c r="G376" s="177"/>
      <c r="H376" s="42">
        <f t="shared" si="69"/>
        <v>2436504</v>
      </c>
      <c r="I376" s="46"/>
      <c r="J376" s="47"/>
      <c r="K376" s="47"/>
    </row>
    <row r="377" spans="1:11" s="16" customFormat="1" ht="12" customHeight="1" x14ac:dyDescent="0.2">
      <c r="A377" s="32"/>
      <c r="B377" s="35"/>
      <c r="C377" s="25">
        <v>4110</v>
      </c>
      <c r="D377" s="39" t="s">
        <v>23</v>
      </c>
      <c r="E377" s="40">
        <v>380700</v>
      </c>
      <c r="F377" s="40">
        <v>31082</v>
      </c>
      <c r="G377" s="177"/>
      <c r="H377" s="42">
        <f t="shared" si="69"/>
        <v>411782</v>
      </c>
      <c r="I377" s="46"/>
      <c r="J377" s="47"/>
      <c r="K377" s="47"/>
    </row>
    <row r="378" spans="1:11" s="16" customFormat="1" ht="12" customHeight="1" x14ac:dyDescent="0.2">
      <c r="A378" s="32"/>
      <c r="B378" s="35"/>
      <c r="C378" s="25">
        <v>4120</v>
      </c>
      <c r="D378" s="39" t="s">
        <v>24</v>
      </c>
      <c r="E378" s="40">
        <v>53232</v>
      </c>
      <c r="F378" s="40">
        <v>4422</v>
      </c>
      <c r="G378" s="177"/>
      <c r="H378" s="42">
        <f t="shared" si="69"/>
        <v>57654</v>
      </c>
      <c r="I378" s="46"/>
      <c r="J378" s="47"/>
      <c r="K378" s="47"/>
    </row>
    <row r="379" spans="1:11" s="16" customFormat="1" ht="12" customHeight="1" x14ac:dyDescent="0.2">
      <c r="A379" s="32"/>
      <c r="B379" s="70">
        <v>85203</v>
      </c>
      <c r="C379" s="156"/>
      <c r="D379" s="68" t="s">
        <v>221</v>
      </c>
      <c r="E379" s="66">
        <v>1005204</v>
      </c>
      <c r="F379" s="38">
        <f>SUM(F380)</f>
        <v>158805</v>
      </c>
      <c r="G379" s="38">
        <f>SUM(G380)</f>
        <v>158805</v>
      </c>
      <c r="H379" s="37">
        <f t="shared" si="69"/>
        <v>1005204</v>
      </c>
      <c r="I379" s="46"/>
      <c r="J379" s="47"/>
      <c r="K379" s="47"/>
    </row>
    <row r="380" spans="1:11" s="16" customFormat="1" ht="21.75" customHeight="1" x14ac:dyDescent="0.2">
      <c r="A380" s="32"/>
      <c r="B380" s="35"/>
      <c r="C380" s="26"/>
      <c r="D380" s="567" t="s">
        <v>222</v>
      </c>
      <c r="E380" s="554">
        <v>747193</v>
      </c>
      <c r="F380" s="566">
        <f>SUM(F381:F384)</f>
        <v>158805</v>
      </c>
      <c r="G380" s="566">
        <f>SUM(G381:G384)</f>
        <v>158805</v>
      </c>
      <c r="H380" s="557">
        <f t="shared" si="69"/>
        <v>747193</v>
      </c>
      <c r="I380" s="46"/>
      <c r="J380" s="47"/>
      <c r="K380" s="47"/>
    </row>
    <row r="381" spans="1:11" s="16" customFormat="1" ht="12" customHeight="1" x14ac:dyDescent="0.2">
      <c r="A381" s="32"/>
      <c r="B381" s="35"/>
      <c r="C381" s="25">
        <v>4010</v>
      </c>
      <c r="D381" s="39" t="s">
        <v>21</v>
      </c>
      <c r="E381" s="40">
        <v>385939</v>
      </c>
      <c r="F381" s="43"/>
      <c r="G381" s="43">
        <v>132480</v>
      </c>
      <c r="H381" s="42">
        <f t="shared" si="69"/>
        <v>253459</v>
      </c>
      <c r="I381" s="46"/>
      <c r="J381" s="47"/>
      <c r="K381" s="47"/>
    </row>
    <row r="382" spans="1:11" s="16" customFormat="1" ht="12" customHeight="1" x14ac:dyDescent="0.2">
      <c r="A382" s="32"/>
      <c r="B382" s="35"/>
      <c r="C382" s="25">
        <v>4170</v>
      </c>
      <c r="D382" s="39" t="s">
        <v>25</v>
      </c>
      <c r="E382" s="40">
        <v>11560</v>
      </c>
      <c r="F382" s="43">
        <v>132480</v>
      </c>
      <c r="G382" s="43"/>
      <c r="H382" s="42">
        <f t="shared" si="69"/>
        <v>144040</v>
      </c>
      <c r="I382" s="46"/>
      <c r="J382" s="47"/>
      <c r="K382" s="47"/>
    </row>
    <row r="383" spans="1:11" s="16" customFormat="1" ht="12" customHeight="1" x14ac:dyDescent="0.2">
      <c r="A383" s="32"/>
      <c r="B383" s="35"/>
      <c r="C383" s="25">
        <v>4220</v>
      </c>
      <c r="D383" s="39" t="s">
        <v>219</v>
      </c>
      <c r="E383" s="43">
        <v>50965</v>
      </c>
      <c r="F383" s="40"/>
      <c r="G383" s="40">
        <v>26325</v>
      </c>
      <c r="H383" s="42">
        <f t="shared" si="69"/>
        <v>24640</v>
      </c>
      <c r="I383" s="46"/>
      <c r="J383" s="47"/>
      <c r="K383" s="47"/>
    </row>
    <row r="384" spans="1:11" s="16" customFormat="1" ht="12" customHeight="1" x14ac:dyDescent="0.2">
      <c r="A384" s="32"/>
      <c r="B384" s="35"/>
      <c r="C384" s="25">
        <v>4300</v>
      </c>
      <c r="D384" s="39" t="s">
        <v>15</v>
      </c>
      <c r="E384" s="43">
        <v>42452</v>
      </c>
      <c r="F384" s="40">
        <v>26325</v>
      </c>
      <c r="G384" s="40"/>
      <c r="H384" s="42">
        <f t="shared" si="69"/>
        <v>68777</v>
      </c>
      <c r="I384" s="46"/>
      <c r="J384" s="47"/>
      <c r="K384" s="47"/>
    </row>
    <row r="385" spans="1:11" s="16" customFormat="1" ht="12" customHeight="1" x14ac:dyDescent="0.2">
      <c r="A385" s="32"/>
      <c r="B385" s="35">
        <v>85214</v>
      </c>
      <c r="C385" s="26"/>
      <c r="D385" s="136" t="s">
        <v>117</v>
      </c>
      <c r="E385" s="124"/>
      <c r="F385" s="137"/>
      <c r="G385" s="137"/>
      <c r="H385" s="124"/>
      <c r="I385" s="46"/>
      <c r="J385" s="47"/>
      <c r="K385" s="47"/>
    </row>
    <row r="386" spans="1:11" s="16" customFormat="1" ht="12" customHeight="1" x14ac:dyDescent="0.2">
      <c r="A386" s="32"/>
      <c r="B386" s="35"/>
      <c r="C386" s="26"/>
      <c r="D386" s="138" t="s">
        <v>118</v>
      </c>
      <c r="E386" s="37">
        <v>8258437.4100000001</v>
      </c>
      <c r="F386" s="38">
        <f t="shared" ref="F386:G386" si="70">SUM(F387)</f>
        <v>3576</v>
      </c>
      <c r="G386" s="38">
        <f t="shared" si="70"/>
        <v>0</v>
      </c>
      <c r="H386" s="37">
        <f>SUM(E386+F386-G386)</f>
        <v>8262013.4100000001</v>
      </c>
      <c r="I386" s="46"/>
      <c r="J386" s="47"/>
      <c r="K386" s="47"/>
    </row>
    <row r="387" spans="1:11" s="16" customFormat="1" ht="22.5" customHeight="1" x14ac:dyDescent="0.2">
      <c r="A387" s="32"/>
      <c r="B387" s="31"/>
      <c r="C387" s="53"/>
      <c r="D387" s="559" t="s">
        <v>223</v>
      </c>
      <c r="E387" s="554">
        <v>5443</v>
      </c>
      <c r="F387" s="555">
        <f>SUM(F388:F388)</f>
        <v>3576</v>
      </c>
      <c r="G387" s="555">
        <f>SUM(G388:G388)</f>
        <v>0</v>
      </c>
      <c r="H387" s="554">
        <f t="shared" ref="H387:H451" si="71">SUM(E387+F387-G387)</f>
        <v>9019</v>
      </c>
      <c r="I387" s="61"/>
      <c r="J387" s="47"/>
      <c r="K387" s="47"/>
    </row>
    <row r="388" spans="1:11" s="16" customFormat="1" ht="21" customHeight="1" x14ac:dyDescent="0.2">
      <c r="A388" s="32"/>
      <c r="B388" s="31"/>
      <c r="C388" s="55">
        <v>3290</v>
      </c>
      <c r="D388" s="62" t="s">
        <v>224</v>
      </c>
      <c r="E388" s="41">
        <v>5443</v>
      </c>
      <c r="F388" s="41">
        <v>3576</v>
      </c>
      <c r="G388" s="42"/>
      <c r="H388" s="41">
        <f t="shared" si="71"/>
        <v>9019</v>
      </c>
      <c r="I388" s="46"/>
      <c r="J388" s="47"/>
      <c r="K388" s="47"/>
    </row>
    <row r="389" spans="1:11" s="16" customFormat="1" ht="12" customHeight="1" x14ac:dyDescent="0.2">
      <c r="A389" s="32"/>
      <c r="B389" s="57">
        <v>85219</v>
      </c>
      <c r="C389" s="159"/>
      <c r="D389" s="68" t="s">
        <v>140</v>
      </c>
      <c r="E389" s="66">
        <v>16519077.130000001</v>
      </c>
      <c r="F389" s="38">
        <f>SUM(F390)</f>
        <v>4000</v>
      </c>
      <c r="G389" s="38">
        <f>SUM(G390)</f>
        <v>4000</v>
      </c>
      <c r="H389" s="37">
        <f t="shared" si="71"/>
        <v>16519077.130000001</v>
      </c>
      <c r="I389" s="46"/>
      <c r="J389" s="47"/>
      <c r="K389" s="47"/>
    </row>
    <row r="390" spans="1:11" s="16" customFormat="1" ht="12" customHeight="1" x14ac:dyDescent="0.2">
      <c r="A390" s="32"/>
      <c r="B390" s="25"/>
      <c r="C390" s="53"/>
      <c r="D390" s="560" t="s">
        <v>225</v>
      </c>
      <c r="E390" s="554">
        <v>16471549</v>
      </c>
      <c r="F390" s="555">
        <f>SUM(F391:F393)</f>
        <v>4000</v>
      </c>
      <c r="G390" s="555">
        <f>SUM(G391:G393)</f>
        <v>4000</v>
      </c>
      <c r="H390" s="554">
        <f t="shared" si="71"/>
        <v>16471549</v>
      </c>
      <c r="I390" s="46"/>
      <c r="J390" s="47"/>
      <c r="K390" s="47"/>
    </row>
    <row r="391" spans="1:11" s="16" customFormat="1" ht="12" customHeight="1" x14ac:dyDescent="0.2">
      <c r="A391" s="32"/>
      <c r="B391" s="31"/>
      <c r="C391" s="25">
        <v>4300</v>
      </c>
      <c r="D391" s="39" t="s">
        <v>15</v>
      </c>
      <c r="E391" s="41">
        <v>294455</v>
      </c>
      <c r="F391" s="41"/>
      <c r="G391" s="42">
        <f>3000+1000</f>
        <v>4000</v>
      </c>
      <c r="H391" s="42">
        <f t="shared" si="71"/>
        <v>290455</v>
      </c>
      <c r="I391" s="46"/>
      <c r="J391" s="47"/>
      <c r="K391" s="47"/>
    </row>
    <row r="392" spans="1:11" s="16" customFormat="1" ht="12" customHeight="1" x14ac:dyDescent="0.2">
      <c r="A392" s="32"/>
      <c r="B392" s="31"/>
      <c r="C392" s="25">
        <v>4410</v>
      </c>
      <c r="D392" s="54" t="s">
        <v>33</v>
      </c>
      <c r="E392" s="41">
        <v>35110</v>
      </c>
      <c r="F392" s="41">
        <v>3000</v>
      </c>
      <c r="G392" s="42"/>
      <c r="H392" s="42">
        <f t="shared" si="71"/>
        <v>38110</v>
      </c>
      <c r="I392" s="46"/>
      <c r="J392" s="47"/>
      <c r="K392" s="47"/>
    </row>
    <row r="393" spans="1:11" s="16" customFormat="1" ht="12" customHeight="1" x14ac:dyDescent="0.2">
      <c r="A393" s="32"/>
      <c r="B393" s="31"/>
      <c r="C393" s="25">
        <v>4420</v>
      </c>
      <c r="D393" s="54" t="s">
        <v>226</v>
      </c>
      <c r="E393" s="41">
        <v>0</v>
      </c>
      <c r="F393" s="41">
        <v>1000</v>
      </c>
      <c r="G393" s="42"/>
      <c r="H393" s="42">
        <f t="shared" si="71"/>
        <v>1000</v>
      </c>
      <c r="I393" s="46"/>
      <c r="J393" s="47"/>
      <c r="K393" s="47"/>
    </row>
    <row r="394" spans="1:11" s="16" customFormat="1" ht="12" customHeight="1" x14ac:dyDescent="0.2">
      <c r="A394" s="32"/>
      <c r="B394" s="57">
        <v>85220</v>
      </c>
      <c r="C394" s="159"/>
      <c r="D394" s="70" t="s">
        <v>227</v>
      </c>
      <c r="E394" s="40"/>
      <c r="F394" s="43"/>
      <c r="G394" s="43"/>
      <c r="H394" s="42"/>
      <c r="I394" s="46"/>
      <c r="J394" s="47"/>
      <c r="K394" s="47"/>
    </row>
    <row r="395" spans="1:11" s="16" customFormat="1" ht="12" customHeight="1" x14ac:dyDescent="0.2">
      <c r="A395" s="32"/>
      <c r="B395" s="154"/>
      <c r="C395" s="159"/>
      <c r="D395" s="68" t="s">
        <v>228</v>
      </c>
      <c r="E395" s="66">
        <v>893223</v>
      </c>
      <c r="F395" s="38">
        <f>SUM(F396)</f>
        <v>2000</v>
      </c>
      <c r="G395" s="38">
        <f>SUM(G396)</f>
        <v>2000</v>
      </c>
      <c r="H395" s="37">
        <f t="shared" ref="H395:H399" si="72">SUM(E395+F395-G395)</f>
        <v>893223</v>
      </c>
      <c r="I395" s="46"/>
      <c r="J395" s="47"/>
      <c r="K395" s="47"/>
    </row>
    <row r="396" spans="1:11" s="16" customFormat="1" ht="12" customHeight="1" x14ac:dyDescent="0.2">
      <c r="A396" s="32"/>
      <c r="B396" s="35"/>
      <c r="C396" s="159"/>
      <c r="D396" s="568" t="s">
        <v>229</v>
      </c>
      <c r="E396" s="569">
        <v>30600</v>
      </c>
      <c r="F396" s="570">
        <f>SUM(F397:F399)</f>
        <v>2000</v>
      </c>
      <c r="G396" s="570">
        <f>SUM(G397:G399)</f>
        <v>2000</v>
      </c>
      <c r="H396" s="554">
        <f t="shared" si="72"/>
        <v>30600</v>
      </c>
      <c r="I396" s="46"/>
      <c r="J396" s="47"/>
      <c r="K396" s="47"/>
    </row>
    <row r="397" spans="1:11" s="16" customFormat="1" ht="12" customHeight="1" x14ac:dyDescent="0.2">
      <c r="A397" s="32"/>
      <c r="B397" s="35"/>
      <c r="C397" s="25">
        <v>4260</v>
      </c>
      <c r="D397" s="39" t="s">
        <v>29</v>
      </c>
      <c r="E397" s="43">
        <v>9000</v>
      </c>
      <c r="F397" s="42">
        <v>2000</v>
      </c>
      <c r="G397" s="42"/>
      <c r="H397" s="41">
        <f t="shared" si="72"/>
        <v>11000</v>
      </c>
      <c r="I397" s="46"/>
      <c r="J397" s="47"/>
      <c r="K397" s="47"/>
    </row>
    <row r="398" spans="1:11" s="16" customFormat="1" ht="12" customHeight="1" x14ac:dyDescent="0.2">
      <c r="A398" s="32"/>
      <c r="B398" s="35"/>
      <c r="C398" s="25">
        <v>4270</v>
      </c>
      <c r="D398" s="39" t="s">
        <v>30</v>
      </c>
      <c r="E398" s="43">
        <v>2000</v>
      </c>
      <c r="F398" s="42"/>
      <c r="G398" s="42">
        <v>1000</v>
      </c>
      <c r="H398" s="41">
        <f t="shared" si="72"/>
        <v>1000</v>
      </c>
      <c r="I398" s="46"/>
      <c r="J398" s="47"/>
      <c r="K398" s="47"/>
    </row>
    <row r="399" spans="1:11" s="16" customFormat="1" ht="22.5" customHeight="1" x14ac:dyDescent="0.2">
      <c r="A399" s="32"/>
      <c r="B399" s="35"/>
      <c r="C399" s="55">
        <v>4400</v>
      </c>
      <c r="D399" s="122" t="s">
        <v>230</v>
      </c>
      <c r="E399" s="43">
        <v>10000</v>
      </c>
      <c r="F399" s="42"/>
      <c r="G399" s="42">
        <v>1000</v>
      </c>
      <c r="H399" s="41">
        <f t="shared" si="72"/>
        <v>9000</v>
      </c>
      <c r="I399" s="46"/>
      <c r="J399" s="47"/>
      <c r="K399" s="47"/>
    </row>
    <row r="400" spans="1:11" s="16" customFormat="1" ht="12" customHeight="1" x14ac:dyDescent="0.2">
      <c r="A400" s="32"/>
      <c r="B400" s="57">
        <v>85230</v>
      </c>
      <c r="C400" s="159"/>
      <c r="D400" s="68" t="s">
        <v>120</v>
      </c>
      <c r="E400" s="66">
        <v>5615460</v>
      </c>
      <c r="F400" s="38">
        <f>SUM(F401,F404)</f>
        <v>379657</v>
      </c>
      <c r="G400" s="38">
        <f>SUM(G401,G404)</f>
        <v>0</v>
      </c>
      <c r="H400" s="37">
        <f t="shared" si="71"/>
        <v>5995117</v>
      </c>
      <c r="I400" s="46"/>
      <c r="J400" s="47"/>
      <c r="K400" s="47"/>
    </row>
    <row r="401" spans="1:11" s="16" customFormat="1" ht="12" customHeight="1" x14ac:dyDescent="0.2">
      <c r="A401" s="32"/>
      <c r="B401" s="57"/>
      <c r="C401" s="26"/>
      <c r="D401" s="571" t="s">
        <v>231</v>
      </c>
      <c r="E401" s="554">
        <v>5597700</v>
      </c>
      <c r="F401" s="555">
        <f>SUM(F402:F403)</f>
        <v>377698</v>
      </c>
      <c r="G401" s="555">
        <f>SUM(G402:G403)</f>
        <v>0</v>
      </c>
      <c r="H401" s="554">
        <f>SUM(E401+F401-G401)</f>
        <v>5975398</v>
      </c>
      <c r="I401" s="46"/>
      <c r="J401" s="47"/>
      <c r="K401" s="47"/>
    </row>
    <row r="402" spans="1:11" s="16" customFormat="1" ht="12" customHeight="1" x14ac:dyDescent="0.2">
      <c r="A402" s="32"/>
      <c r="B402" s="57"/>
      <c r="C402" s="25">
        <v>3110</v>
      </c>
      <c r="D402" s="39" t="s">
        <v>232</v>
      </c>
      <c r="E402" s="43">
        <v>2197700</v>
      </c>
      <c r="F402" s="40">
        <v>148287</v>
      </c>
      <c r="G402" s="40"/>
      <c r="H402" s="42">
        <f t="shared" ref="H402:H405" si="73">SUM(E402+F402-G402)</f>
        <v>2345987</v>
      </c>
      <c r="I402" s="46"/>
      <c r="J402" s="47"/>
      <c r="K402" s="47"/>
    </row>
    <row r="403" spans="1:11" s="16" customFormat="1" ht="12" customHeight="1" x14ac:dyDescent="0.2">
      <c r="A403" s="32"/>
      <c r="B403" s="57"/>
      <c r="C403" s="25">
        <v>4300</v>
      </c>
      <c r="D403" s="39" t="s">
        <v>15</v>
      </c>
      <c r="E403" s="43">
        <v>3400000</v>
      </c>
      <c r="F403" s="42">
        <v>229411</v>
      </c>
      <c r="G403" s="42"/>
      <c r="H403" s="42">
        <f t="shared" si="73"/>
        <v>3629411</v>
      </c>
      <c r="I403" s="46"/>
      <c r="J403" s="47"/>
      <c r="K403" s="47"/>
    </row>
    <row r="404" spans="1:11" s="16" customFormat="1" ht="22.5" customHeight="1" x14ac:dyDescent="0.2">
      <c r="A404" s="32"/>
      <c r="B404" s="57"/>
      <c r="C404" s="26"/>
      <c r="D404" s="572" t="s">
        <v>233</v>
      </c>
      <c r="E404" s="554">
        <v>16217</v>
      </c>
      <c r="F404" s="555">
        <f>SUM(F405:F405)</f>
        <v>1959</v>
      </c>
      <c r="G404" s="555">
        <f>SUM(G405:G405)</f>
        <v>0</v>
      </c>
      <c r="H404" s="554">
        <f t="shared" si="73"/>
        <v>18176</v>
      </c>
      <c r="I404" s="61"/>
      <c r="J404" s="47"/>
      <c r="K404" s="47"/>
    </row>
    <row r="405" spans="1:11" s="16" customFormat="1" ht="20.25" customHeight="1" x14ac:dyDescent="0.2">
      <c r="A405" s="32"/>
      <c r="B405" s="57"/>
      <c r="C405" s="55">
        <v>3290</v>
      </c>
      <c r="D405" s="62" t="s">
        <v>224</v>
      </c>
      <c r="E405" s="43">
        <v>16217</v>
      </c>
      <c r="F405" s="40">
        <v>1959</v>
      </c>
      <c r="G405" s="40"/>
      <c r="H405" s="42">
        <f t="shared" si="73"/>
        <v>18176</v>
      </c>
      <c r="I405" s="46"/>
      <c r="J405" s="47"/>
      <c r="K405" s="47"/>
    </row>
    <row r="406" spans="1:11" s="16" customFormat="1" ht="11.25" customHeight="1" x14ac:dyDescent="0.2">
      <c r="A406" s="32"/>
      <c r="B406" s="35">
        <v>85295</v>
      </c>
      <c r="C406" s="26"/>
      <c r="D406" s="36" t="s">
        <v>14</v>
      </c>
      <c r="E406" s="37">
        <v>6052049.8999999994</v>
      </c>
      <c r="F406" s="38">
        <f>SUM(F407,F410)</f>
        <v>38940.000000000007</v>
      </c>
      <c r="G406" s="38">
        <f>SUM(G407,G410)</f>
        <v>38940</v>
      </c>
      <c r="H406" s="37">
        <f>SUM(E406+F406-G406)</f>
        <v>6052049.8999999994</v>
      </c>
      <c r="I406" s="46"/>
      <c r="J406" s="47"/>
      <c r="K406" s="47"/>
    </row>
    <row r="407" spans="1:11" s="16" customFormat="1" ht="35.25" customHeight="1" x14ac:dyDescent="0.2">
      <c r="A407" s="32"/>
      <c r="B407" s="31"/>
      <c r="C407" s="53"/>
      <c r="D407" s="573" t="s">
        <v>234</v>
      </c>
      <c r="E407" s="554">
        <v>456126.81000000006</v>
      </c>
      <c r="F407" s="555">
        <f>SUM(F408:F409)</f>
        <v>40</v>
      </c>
      <c r="G407" s="555">
        <f>SUM(G408:G409)</f>
        <v>40</v>
      </c>
      <c r="H407" s="554">
        <f t="shared" ref="H407:H409" si="74">SUM(E407+F407-G407)</f>
        <v>456126.81000000006</v>
      </c>
      <c r="I407" s="46"/>
      <c r="J407" s="47"/>
      <c r="K407" s="47"/>
    </row>
    <row r="408" spans="1:11" s="16" customFormat="1" ht="12" customHeight="1" x14ac:dyDescent="0.2">
      <c r="A408" s="32"/>
      <c r="B408" s="31"/>
      <c r="C408" s="25">
        <v>4117</v>
      </c>
      <c r="D408" s="39" t="s">
        <v>235</v>
      </c>
      <c r="E408" s="43">
        <v>34355.11</v>
      </c>
      <c r="F408" s="40"/>
      <c r="G408" s="40">
        <v>40</v>
      </c>
      <c r="H408" s="42">
        <f t="shared" si="74"/>
        <v>34315.11</v>
      </c>
      <c r="I408" s="46"/>
      <c r="J408" s="47"/>
      <c r="K408" s="47"/>
    </row>
    <row r="409" spans="1:11" s="16" customFormat="1" ht="12" customHeight="1" x14ac:dyDescent="0.2">
      <c r="A409" s="32"/>
      <c r="B409" s="31"/>
      <c r="C409" s="25">
        <v>4717</v>
      </c>
      <c r="D409" s="54" t="s">
        <v>37</v>
      </c>
      <c r="E409" s="43">
        <v>688.59</v>
      </c>
      <c r="F409" s="40">
        <v>40</v>
      </c>
      <c r="G409" s="40"/>
      <c r="H409" s="42">
        <f t="shared" si="74"/>
        <v>728.59</v>
      </c>
      <c r="I409" s="46"/>
      <c r="J409" s="47"/>
      <c r="K409" s="47"/>
    </row>
    <row r="410" spans="1:11" s="16" customFormat="1" ht="46.5" customHeight="1" x14ac:dyDescent="0.2">
      <c r="A410" s="32"/>
      <c r="B410" s="31"/>
      <c r="C410" s="26"/>
      <c r="D410" s="559" t="s">
        <v>236</v>
      </c>
      <c r="E410" s="554">
        <v>1135769.9900000002</v>
      </c>
      <c r="F410" s="566">
        <f>SUM(F411:F424)</f>
        <v>38900.000000000007</v>
      </c>
      <c r="G410" s="566">
        <f>SUM(G411:G424)</f>
        <v>38900</v>
      </c>
      <c r="H410" s="557">
        <f>SUM(E410+F410-G410)</f>
        <v>1135769.9900000002</v>
      </c>
      <c r="I410" s="46"/>
      <c r="J410" s="47"/>
      <c r="K410" s="47"/>
    </row>
    <row r="411" spans="1:11" s="16" customFormat="1" ht="12" customHeight="1" x14ac:dyDescent="0.2">
      <c r="A411" s="32"/>
      <c r="B411" s="31"/>
      <c r="C411" s="25">
        <v>3027</v>
      </c>
      <c r="D411" s="39" t="s">
        <v>20</v>
      </c>
      <c r="E411" s="40">
        <v>9477.2800000000007</v>
      </c>
      <c r="F411" s="40"/>
      <c r="G411" s="40">
        <v>1685.6</v>
      </c>
      <c r="H411" s="42">
        <f t="shared" ref="H411:H430" si="75">SUM(E411+F411-G411)</f>
        <v>7791.68</v>
      </c>
      <c r="I411" s="46"/>
      <c r="J411" s="47"/>
      <c r="K411" s="47"/>
    </row>
    <row r="412" spans="1:11" s="16" customFormat="1" ht="12" customHeight="1" x14ac:dyDescent="0.2">
      <c r="A412" s="32"/>
      <c r="B412" s="31"/>
      <c r="C412" s="25">
        <v>3029</v>
      </c>
      <c r="D412" s="39" t="s">
        <v>20</v>
      </c>
      <c r="E412" s="40">
        <v>1767.72</v>
      </c>
      <c r="F412" s="40"/>
      <c r="G412" s="40">
        <v>314.39999999999998</v>
      </c>
      <c r="H412" s="42">
        <f t="shared" si="75"/>
        <v>1453.3200000000002</v>
      </c>
      <c r="I412" s="46"/>
      <c r="J412" s="47"/>
      <c r="K412" s="47"/>
    </row>
    <row r="413" spans="1:11" s="16" customFormat="1" ht="12" customHeight="1" x14ac:dyDescent="0.2">
      <c r="A413" s="32"/>
      <c r="B413" s="31"/>
      <c r="C413" s="25">
        <v>4017</v>
      </c>
      <c r="D413" s="39" t="s">
        <v>21</v>
      </c>
      <c r="E413" s="40">
        <v>238500.43999999997</v>
      </c>
      <c r="F413" s="40">
        <v>1266.43</v>
      </c>
      <c r="G413" s="40">
        <v>1336.78</v>
      </c>
      <c r="H413" s="42">
        <f t="shared" si="75"/>
        <v>238430.08999999997</v>
      </c>
      <c r="I413" s="46"/>
      <c r="J413" s="47"/>
      <c r="K413" s="47"/>
    </row>
    <row r="414" spans="1:11" s="16" customFormat="1" ht="12" customHeight="1" x14ac:dyDescent="0.2">
      <c r="A414" s="32"/>
      <c r="B414" s="31"/>
      <c r="C414" s="25">
        <v>4019</v>
      </c>
      <c r="D414" s="39" t="s">
        <v>21</v>
      </c>
      <c r="E414" s="40">
        <v>44485.239999999991</v>
      </c>
      <c r="F414" s="40">
        <v>236.2</v>
      </c>
      <c r="G414" s="40">
        <v>249.33</v>
      </c>
      <c r="H414" s="42">
        <f t="shared" si="75"/>
        <v>44472.109999999986</v>
      </c>
      <c r="I414" s="46"/>
      <c r="J414" s="47"/>
      <c r="K414" s="47"/>
    </row>
    <row r="415" spans="1:11" s="16" customFormat="1" ht="12" customHeight="1" x14ac:dyDescent="0.2">
      <c r="A415" s="32"/>
      <c r="B415" s="31"/>
      <c r="C415" s="25">
        <v>4117</v>
      </c>
      <c r="D415" s="39" t="s">
        <v>235</v>
      </c>
      <c r="E415" s="40">
        <v>82280.670000000013</v>
      </c>
      <c r="F415" s="40">
        <v>219.6</v>
      </c>
      <c r="G415" s="40">
        <v>3281.75</v>
      </c>
      <c r="H415" s="42">
        <f t="shared" si="75"/>
        <v>79218.520000000019</v>
      </c>
      <c r="I415" s="46"/>
      <c r="J415" s="47"/>
      <c r="K415" s="47"/>
    </row>
    <row r="416" spans="1:11" s="16" customFormat="1" ht="12" customHeight="1" x14ac:dyDescent="0.2">
      <c r="A416" s="32"/>
      <c r="B416" s="31"/>
      <c r="C416" s="25">
        <v>4119</v>
      </c>
      <c r="D416" s="39" t="s">
        <v>235</v>
      </c>
      <c r="E416" s="40">
        <v>15347.03</v>
      </c>
      <c r="F416" s="40">
        <v>40.96</v>
      </c>
      <c r="G416" s="40">
        <v>612.11</v>
      </c>
      <c r="H416" s="42">
        <f t="shared" si="75"/>
        <v>14775.88</v>
      </c>
      <c r="I416" s="46"/>
      <c r="J416" s="47"/>
      <c r="K416" s="47"/>
    </row>
    <row r="417" spans="1:11" s="16" customFormat="1" ht="12" customHeight="1" x14ac:dyDescent="0.2">
      <c r="A417" s="178"/>
      <c r="B417" s="63"/>
      <c r="C417" s="65">
        <v>4127</v>
      </c>
      <c r="D417" s="125" t="s">
        <v>237</v>
      </c>
      <c r="E417" s="175">
        <v>11628.77</v>
      </c>
      <c r="F417" s="175">
        <v>31.03</v>
      </c>
      <c r="G417" s="175">
        <v>463.69</v>
      </c>
      <c r="H417" s="38">
        <f t="shared" si="75"/>
        <v>11196.11</v>
      </c>
      <c r="I417" s="46"/>
      <c r="J417" s="47"/>
      <c r="K417" s="47"/>
    </row>
    <row r="418" spans="1:11" s="16" customFormat="1" ht="12" customHeight="1" x14ac:dyDescent="0.2">
      <c r="A418" s="32"/>
      <c r="B418" s="31"/>
      <c r="C418" s="25">
        <v>4129</v>
      </c>
      <c r="D418" s="54" t="s">
        <v>237</v>
      </c>
      <c r="E418" s="40">
        <v>2169.0200000000004</v>
      </c>
      <c r="F418" s="40">
        <v>5.78</v>
      </c>
      <c r="G418" s="40">
        <v>86.48</v>
      </c>
      <c r="H418" s="42">
        <f t="shared" si="75"/>
        <v>2088.3200000000006</v>
      </c>
      <c r="I418" s="46"/>
      <c r="J418" s="47"/>
      <c r="K418" s="47"/>
    </row>
    <row r="419" spans="1:11" s="16" customFormat="1" ht="12" customHeight="1" x14ac:dyDescent="0.2">
      <c r="A419" s="32"/>
      <c r="B419" s="31"/>
      <c r="C419" s="25">
        <v>4177</v>
      </c>
      <c r="D419" s="39" t="s">
        <v>25</v>
      </c>
      <c r="E419" s="40">
        <v>235904.76</v>
      </c>
      <c r="F419" s="40"/>
      <c r="G419" s="40">
        <v>17589.12</v>
      </c>
      <c r="H419" s="42">
        <f t="shared" si="75"/>
        <v>218315.64</v>
      </c>
      <c r="I419" s="46"/>
      <c r="J419" s="47"/>
      <c r="K419" s="47"/>
    </row>
    <row r="420" spans="1:11" s="16" customFormat="1" ht="12" customHeight="1" x14ac:dyDescent="0.2">
      <c r="A420" s="32"/>
      <c r="B420" s="31"/>
      <c r="C420" s="25">
        <v>4179</v>
      </c>
      <c r="D420" s="39" t="s">
        <v>25</v>
      </c>
      <c r="E420" s="40">
        <v>44001.23</v>
      </c>
      <c r="F420" s="40"/>
      <c r="G420" s="40">
        <v>3280.74</v>
      </c>
      <c r="H420" s="42">
        <f t="shared" si="75"/>
        <v>40720.490000000005</v>
      </c>
      <c r="I420" s="46"/>
      <c r="J420" s="47"/>
      <c r="K420" s="47"/>
    </row>
    <row r="421" spans="1:11" s="16" customFormat="1" ht="12" customHeight="1" x14ac:dyDescent="0.2">
      <c r="A421" s="32"/>
      <c r="B421" s="31"/>
      <c r="C421" s="25">
        <v>4217</v>
      </c>
      <c r="D421" s="39" t="s">
        <v>27</v>
      </c>
      <c r="E421" s="40">
        <v>68281.799999999988</v>
      </c>
      <c r="F421" s="40">
        <v>31267.88</v>
      </c>
      <c r="G421" s="40"/>
      <c r="H421" s="42">
        <f t="shared" si="75"/>
        <v>99549.68</v>
      </c>
      <c r="I421" s="46"/>
      <c r="J421" s="47"/>
      <c r="K421" s="47"/>
    </row>
    <row r="422" spans="1:11" s="16" customFormat="1" ht="12" customHeight="1" x14ac:dyDescent="0.2">
      <c r="A422" s="32"/>
      <c r="B422" s="31"/>
      <c r="C422" s="25">
        <v>4219</v>
      </c>
      <c r="D422" s="39" t="s">
        <v>27</v>
      </c>
      <c r="E422" s="40">
        <v>12735.640000000003</v>
      </c>
      <c r="F422" s="40">
        <v>5832.12</v>
      </c>
      <c r="G422" s="40"/>
      <c r="H422" s="42">
        <f t="shared" si="75"/>
        <v>18567.760000000002</v>
      </c>
      <c r="I422" s="46"/>
      <c r="J422" s="47"/>
      <c r="K422" s="47"/>
    </row>
    <row r="423" spans="1:11" s="16" customFormat="1" ht="12" customHeight="1" x14ac:dyDescent="0.2">
      <c r="A423" s="32"/>
      <c r="B423" s="31"/>
      <c r="C423" s="25">
        <v>4267</v>
      </c>
      <c r="D423" s="39" t="s">
        <v>29</v>
      </c>
      <c r="E423" s="40">
        <v>87276.540000000008</v>
      </c>
      <c r="F423" s="40"/>
      <c r="G423" s="40">
        <v>8428</v>
      </c>
      <c r="H423" s="42">
        <f t="shared" si="75"/>
        <v>78848.540000000008</v>
      </c>
      <c r="I423" s="46"/>
      <c r="J423" s="47"/>
      <c r="K423" s="47"/>
    </row>
    <row r="424" spans="1:11" s="16" customFormat="1" ht="12" customHeight="1" x14ac:dyDescent="0.2">
      <c r="A424" s="32"/>
      <c r="B424" s="31"/>
      <c r="C424" s="25">
        <v>4269</v>
      </c>
      <c r="D424" s="39" t="s">
        <v>29</v>
      </c>
      <c r="E424" s="40">
        <v>16278.910000000003</v>
      </c>
      <c r="F424" s="40"/>
      <c r="G424" s="40">
        <v>1572</v>
      </c>
      <c r="H424" s="42">
        <f t="shared" si="75"/>
        <v>14706.910000000003</v>
      </c>
      <c r="I424" s="46"/>
      <c r="J424" s="47"/>
      <c r="K424" s="47"/>
    </row>
    <row r="425" spans="1:11" s="16" customFormat="1" ht="12" customHeight="1" thickBot="1" x14ac:dyDescent="0.25">
      <c r="A425" s="119">
        <v>853</v>
      </c>
      <c r="B425" s="31"/>
      <c r="C425" s="32"/>
      <c r="D425" s="33" t="s">
        <v>142</v>
      </c>
      <c r="E425" s="30">
        <v>12685706.919999998</v>
      </c>
      <c r="F425" s="34">
        <f>SUM(F426)</f>
        <v>5992</v>
      </c>
      <c r="G425" s="34">
        <f>SUM(G426)</f>
        <v>5992</v>
      </c>
      <c r="H425" s="30">
        <f t="shared" si="75"/>
        <v>12685706.919999998</v>
      </c>
      <c r="I425" s="46"/>
      <c r="J425" s="47"/>
      <c r="K425" s="47"/>
    </row>
    <row r="426" spans="1:11" s="16" customFormat="1" ht="12" customHeight="1" thickTop="1" x14ac:dyDescent="0.2">
      <c r="A426" s="32"/>
      <c r="B426" s="35">
        <v>85395</v>
      </c>
      <c r="C426" s="26"/>
      <c r="D426" s="36" t="s">
        <v>14</v>
      </c>
      <c r="E426" s="66">
        <v>8151609.919999999</v>
      </c>
      <c r="F426" s="37">
        <f>SUM(F428,F431)</f>
        <v>5992</v>
      </c>
      <c r="G426" s="37">
        <f>SUM(G428,G431)</f>
        <v>5992</v>
      </c>
      <c r="H426" s="37">
        <f t="shared" si="75"/>
        <v>8151609.919999999</v>
      </c>
      <c r="I426" s="46"/>
      <c r="J426" s="47"/>
      <c r="K426" s="47"/>
    </row>
    <row r="427" spans="1:11" s="16" customFormat="1" ht="12" customHeight="1" x14ac:dyDescent="0.2">
      <c r="A427" s="32"/>
      <c r="B427" s="35"/>
      <c r="C427" s="26"/>
      <c r="D427" s="39" t="s">
        <v>238</v>
      </c>
      <c r="E427" s="43"/>
      <c r="F427" s="41"/>
      <c r="G427" s="41"/>
      <c r="H427" s="41"/>
      <c r="I427" s="46"/>
      <c r="J427" s="47"/>
      <c r="K427" s="47"/>
    </row>
    <row r="428" spans="1:11" s="16" customFormat="1" ht="12" customHeight="1" x14ac:dyDescent="0.2">
      <c r="A428" s="32"/>
      <c r="B428" s="35"/>
      <c r="C428" s="57"/>
      <c r="D428" s="556" t="s">
        <v>239</v>
      </c>
      <c r="E428" s="555">
        <v>526825</v>
      </c>
      <c r="F428" s="555">
        <f>SUM(F429:F430)</f>
        <v>492</v>
      </c>
      <c r="G428" s="555">
        <f>SUM(G429:G430)</f>
        <v>492</v>
      </c>
      <c r="H428" s="557">
        <f t="shared" si="75"/>
        <v>526825</v>
      </c>
      <c r="I428" s="46"/>
      <c r="J428" s="47"/>
      <c r="K428" s="47"/>
    </row>
    <row r="429" spans="1:11" s="16" customFormat="1" ht="12" customHeight="1" x14ac:dyDescent="0.2">
      <c r="A429" s="32"/>
      <c r="B429" s="35"/>
      <c r="C429" s="25">
        <v>4300</v>
      </c>
      <c r="D429" s="39" t="s">
        <v>15</v>
      </c>
      <c r="E429" s="43">
        <v>65743</v>
      </c>
      <c r="F429" s="42"/>
      <c r="G429" s="42">
        <v>492</v>
      </c>
      <c r="H429" s="42">
        <f t="shared" si="75"/>
        <v>65251</v>
      </c>
      <c r="I429" s="46"/>
      <c r="J429" s="47"/>
      <c r="K429" s="47"/>
    </row>
    <row r="430" spans="1:11" s="16" customFormat="1" ht="12" customHeight="1" x14ac:dyDescent="0.2">
      <c r="A430" s="32"/>
      <c r="B430" s="35"/>
      <c r="C430" s="25">
        <v>4440</v>
      </c>
      <c r="D430" s="179" t="s">
        <v>35</v>
      </c>
      <c r="E430" s="43">
        <v>6502</v>
      </c>
      <c r="F430" s="41">
        <v>492</v>
      </c>
      <c r="G430" s="41"/>
      <c r="H430" s="42">
        <f t="shared" si="75"/>
        <v>6994</v>
      </c>
      <c r="I430" s="46"/>
      <c r="J430" s="47"/>
      <c r="K430" s="47"/>
    </row>
    <row r="431" spans="1:11" s="16" customFormat="1" ht="34.5" customHeight="1" x14ac:dyDescent="0.2">
      <c r="A431" s="32"/>
      <c r="B431" s="35"/>
      <c r="C431" s="53"/>
      <c r="D431" s="574" t="s">
        <v>240</v>
      </c>
      <c r="E431" s="554">
        <v>478512.02</v>
      </c>
      <c r="F431" s="555">
        <f>SUM(F432:F434)</f>
        <v>5500</v>
      </c>
      <c r="G431" s="555">
        <f>SUM(G432:G434)</f>
        <v>5500</v>
      </c>
      <c r="H431" s="554">
        <f>SUM(E431+F431-G431)</f>
        <v>478512.02</v>
      </c>
      <c r="I431" s="46"/>
      <c r="J431" s="47"/>
      <c r="K431" s="47"/>
    </row>
    <row r="432" spans="1:11" s="16" customFormat="1" ht="12" customHeight="1" x14ac:dyDescent="0.2">
      <c r="A432" s="32"/>
      <c r="B432" s="35"/>
      <c r="C432" s="53" t="s">
        <v>26</v>
      </c>
      <c r="D432" s="54" t="s">
        <v>27</v>
      </c>
      <c r="E432" s="43">
        <v>103184.92</v>
      </c>
      <c r="F432" s="42"/>
      <c r="G432" s="42">
        <v>5500</v>
      </c>
      <c r="H432" s="42">
        <f>SUM(E432+F432-G432)</f>
        <v>97684.92</v>
      </c>
      <c r="I432" s="46"/>
      <c r="J432" s="47"/>
      <c r="K432" s="47"/>
    </row>
    <row r="433" spans="1:11" s="16" customFormat="1" ht="12" customHeight="1" x14ac:dyDescent="0.2">
      <c r="A433" s="32"/>
      <c r="B433" s="35"/>
      <c r="C433" s="25">
        <v>4270</v>
      </c>
      <c r="D433" s="39" t="s">
        <v>30</v>
      </c>
      <c r="E433" s="43">
        <v>1232</v>
      </c>
      <c r="F433" s="42">
        <v>3500</v>
      </c>
      <c r="G433" s="42"/>
      <c r="H433" s="42">
        <f>SUM(E433+F433-G433)</f>
        <v>4732</v>
      </c>
      <c r="I433" s="46"/>
      <c r="J433" s="47"/>
      <c r="K433" s="47"/>
    </row>
    <row r="434" spans="1:11" s="16" customFormat="1" ht="12" customHeight="1" x14ac:dyDescent="0.2">
      <c r="A434" s="32"/>
      <c r="B434" s="35"/>
      <c r="C434" s="25">
        <v>4300</v>
      </c>
      <c r="D434" s="39" t="s">
        <v>15</v>
      </c>
      <c r="E434" s="43">
        <v>5926</v>
      </c>
      <c r="F434" s="42">
        <v>2000</v>
      </c>
      <c r="G434" s="42"/>
      <c r="H434" s="42">
        <f t="shared" ref="H434" si="76">SUM(E434+F434-G434)</f>
        <v>7926</v>
      </c>
      <c r="I434" s="46"/>
      <c r="J434" s="47"/>
      <c r="K434" s="47"/>
    </row>
    <row r="435" spans="1:11" s="16" customFormat="1" ht="12" customHeight="1" thickBot="1" x14ac:dyDescent="0.25">
      <c r="A435" s="31">
        <v>854</v>
      </c>
      <c r="B435" s="31"/>
      <c r="C435" s="32"/>
      <c r="D435" s="33" t="s">
        <v>124</v>
      </c>
      <c r="E435" s="30">
        <v>18446005.43</v>
      </c>
      <c r="F435" s="34">
        <f>SUM(F436,F442,F451,F458,F465,F468)</f>
        <v>197865</v>
      </c>
      <c r="G435" s="34">
        <f>SUM(G436,G442,G451,G458,G465,G468)</f>
        <v>102325</v>
      </c>
      <c r="H435" s="30">
        <f t="shared" si="71"/>
        <v>18541545.43</v>
      </c>
      <c r="I435" s="46"/>
      <c r="J435" s="47"/>
      <c r="K435" s="47"/>
    </row>
    <row r="436" spans="1:11" s="16" customFormat="1" ht="12" customHeight="1" thickTop="1" x14ac:dyDescent="0.2">
      <c r="A436" s="31"/>
      <c r="B436" s="53">
        <v>85404</v>
      </c>
      <c r="C436" s="32"/>
      <c r="D436" s="72" t="s">
        <v>241</v>
      </c>
      <c r="E436" s="66">
        <v>1126460</v>
      </c>
      <c r="F436" s="38">
        <f>SUM(F437)</f>
        <v>2250</v>
      </c>
      <c r="G436" s="38">
        <f>SUM(G437)</f>
        <v>2510</v>
      </c>
      <c r="H436" s="37">
        <f t="shared" ref="H436:H442" si="77">SUM(E436+F436-G436)</f>
        <v>1126200</v>
      </c>
      <c r="I436" s="46"/>
      <c r="J436" s="47"/>
      <c r="K436" s="47"/>
    </row>
    <row r="437" spans="1:11" s="16" customFormat="1" ht="12" customHeight="1" x14ac:dyDescent="0.2">
      <c r="A437" s="31"/>
      <c r="B437" s="180"/>
      <c r="C437" s="32"/>
      <c r="D437" s="560" t="s">
        <v>19</v>
      </c>
      <c r="E437" s="569">
        <v>541670</v>
      </c>
      <c r="F437" s="570">
        <f>SUM(F438:F440)</f>
        <v>2250</v>
      </c>
      <c r="G437" s="570">
        <f>SUM(G438:G440)</f>
        <v>2510</v>
      </c>
      <c r="H437" s="554">
        <f>SUM(E437+F437-G437)</f>
        <v>541410</v>
      </c>
      <c r="I437" s="46"/>
      <c r="J437" s="47"/>
      <c r="K437" s="47"/>
    </row>
    <row r="438" spans="1:11" s="16" customFormat="1" ht="21.75" customHeight="1" x14ac:dyDescent="0.2">
      <c r="A438" s="31"/>
      <c r="B438" s="180"/>
      <c r="C438" s="55">
        <v>3040</v>
      </c>
      <c r="D438" s="62" t="s">
        <v>188</v>
      </c>
      <c r="E438" s="43">
        <v>0</v>
      </c>
      <c r="F438" s="40">
        <v>2250</v>
      </c>
      <c r="G438" s="40"/>
      <c r="H438" s="41">
        <f t="shared" ref="H438:H440" si="78">SUM(E438+F438-G438)</f>
        <v>2250</v>
      </c>
      <c r="I438" s="46"/>
      <c r="J438" s="47"/>
      <c r="K438" s="47"/>
    </row>
    <row r="439" spans="1:11" s="16" customFormat="1" ht="12" customHeight="1" x14ac:dyDescent="0.2">
      <c r="A439" s="31"/>
      <c r="B439" s="180"/>
      <c r="C439" s="25">
        <v>4790</v>
      </c>
      <c r="D439" s="39" t="s">
        <v>201</v>
      </c>
      <c r="E439" s="43">
        <v>395239</v>
      </c>
      <c r="F439" s="40"/>
      <c r="G439" s="40">
        <v>2250</v>
      </c>
      <c r="H439" s="41">
        <f t="shared" si="78"/>
        <v>392989</v>
      </c>
      <c r="I439" s="46"/>
      <c r="J439" s="47"/>
      <c r="K439" s="47"/>
    </row>
    <row r="440" spans="1:11" s="16" customFormat="1" ht="12" customHeight="1" x14ac:dyDescent="0.2">
      <c r="A440" s="31"/>
      <c r="B440" s="180"/>
      <c r="C440" s="57">
        <v>4800</v>
      </c>
      <c r="D440" s="58" t="s">
        <v>39</v>
      </c>
      <c r="E440" s="43">
        <v>27945</v>
      </c>
      <c r="F440" s="40"/>
      <c r="G440" s="40">
        <v>260</v>
      </c>
      <c r="H440" s="41">
        <f t="shared" si="78"/>
        <v>27685</v>
      </c>
      <c r="I440" s="46"/>
      <c r="J440" s="47"/>
      <c r="K440" s="47"/>
    </row>
    <row r="441" spans="1:11" s="16" customFormat="1" ht="12" customHeight="1" x14ac:dyDescent="0.2">
      <c r="A441" s="31"/>
      <c r="B441" s="35">
        <v>85406</v>
      </c>
      <c r="C441" s="25"/>
      <c r="D441" s="39" t="s">
        <v>242</v>
      </c>
      <c r="E441" s="124"/>
      <c r="F441" s="137"/>
      <c r="G441" s="137"/>
      <c r="H441" s="124"/>
      <c r="I441" s="46"/>
      <c r="J441" s="47"/>
      <c r="K441" s="47"/>
    </row>
    <row r="442" spans="1:11" s="16" customFormat="1" ht="12" customHeight="1" x14ac:dyDescent="0.2">
      <c r="A442" s="31"/>
      <c r="B442" s="35"/>
      <c r="C442" s="26"/>
      <c r="D442" s="148" t="s">
        <v>243</v>
      </c>
      <c r="E442" s="37">
        <v>4334734</v>
      </c>
      <c r="F442" s="38">
        <f>SUM(F443,F445)</f>
        <v>57500</v>
      </c>
      <c r="G442" s="38">
        <f>SUM(G443,G445)</f>
        <v>47240</v>
      </c>
      <c r="H442" s="37">
        <f t="shared" si="77"/>
        <v>4344994</v>
      </c>
      <c r="I442" s="46"/>
      <c r="J442" s="47"/>
      <c r="K442" s="47"/>
    </row>
    <row r="443" spans="1:11" s="16" customFormat="1" ht="12" customHeight="1" x14ac:dyDescent="0.2">
      <c r="A443" s="31"/>
      <c r="B443" s="35"/>
      <c r="C443" s="26"/>
      <c r="D443" s="556" t="s">
        <v>185</v>
      </c>
      <c r="E443" s="557">
        <v>66599</v>
      </c>
      <c r="F443" s="557">
        <f>SUM(F444:F444)</f>
        <v>10000</v>
      </c>
      <c r="G443" s="557">
        <f>SUM(G444:G444)</f>
        <v>0</v>
      </c>
      <c r="H443" s="557">
        <f t="shared" ref="H443:H444" si="79">SUM(E443+F443-G443)</f>
        <v>76599</v>
      </c>
      <c r="I443" s="46"/>
      <c r="J443" s="47"/>
      <c r="K443" s="47"/>
    </row>
    <row r="444" spans="1:11" s="16" customFormat="1" ht="23.25" customHeight="1" x14ac:dyDescent="0.2">
      <c r="A444" s="31"/>
      <c r="B444" s="35"/>
      <c r="C444" s="55">
        <v>2540</v>
      </c>
      <c r="D444" s="62" t="s">
        <v>186</v>
      </c>
      <c r="E444" s="181">
        <v>60974</v>
      </c>
      <c r="F444" s="181">
        <v>10000</v>
      </c>
      <c r="G444" s="181"/>
      <c r="H444" s="41">
        <f t="shared" si="79"/>
        <v>70974</v>
      </c>
      <c r="I444" s="46"/>
      <c r="J444" s="47"/>
      <c r="K444" s="47"/>
    </row>
    <row r="445" spans="1:11" s="16" customFormat="1" ht="12" customHeight="1" x14ac:dyDescent="0.2">
      <c r="A445" s="31"/>
      <c r="B445" s="35"/>
      <c r="C445" s="26"/>
      <c r="D445" s="560" t="s">
        <v>19</v>
      </c>
      <c r="E445" s="557">
        <v>4268135</v>
      </c>
      <c r="F445" s="557">
        <f>SUM(F446:F450)</f>
        <v>47500</v>
      </c>
      <c r="G445" s="557">
        <f>SUM(G446:G450)</f>
        <v>47240</v>
      </c>
      <c r="H445" s="554">
        <f>SUM(E445+F445-G445)</f>
        <v>4268395</v>
      </c>
      <c r="I445" s="46"/>
      <c r="J445" s="47"/>
      <c r="K445" s="47"/>
    </row>
    <row r="446" spans="1:11" s="16" customFormat="1" ht="12" customHeight="1" x14ac:dyDescent="0.2">
      <c r="A446" s="31"/>
      <c r="B446" s="35"/>
      <c r="C446" s="25">
        <v>3020</v>
      </c>
      <c r="D446" s="39" t="s">
        <v>20</v>
      </c>
      <c r="E446" s="43">
        <v>1721</v>
      </c>
      <c r="F446" s="43">
        <v>2000</v>
      </c>
      <c r="G446" s="43"/>
      <c r="H446" s="41">
        <f t="shared" ref="H446:H450" si="80">SUM(E446+F446-G446)</f>
        <v>3721</v>
      </c>
      <c r="I446" s="46"/>
      <c r="J446" s="47"/>
      <c r="K446" s="47"/>
    </row>
    <row r="447" spans="1:11" s="16" customFormat="1" ht="22.5" customHeight="1" x14ac:dyDescent="0.2">
      <c r="A447" s="31"/>
      <c r="B447" s="35"/>
      <c r="C447" s="55">
        <v>3040</v>
      </c>
      <c r="D447" s="62" t="s">
        <v>188</v>
      </c>
      <c r="E447" s="43">
        <v>0</v>
      </c>
      <c r="F447" s="43">
        <v>45000</v>
      </c>
      <c r="G447" s="43"/>
      <c r="H447" s="41">
        <f t="shared" si="80"/>
        <v>45000</v>
      </c>
      <c r="I447" s="46"/>
      <c r="J447" s="47"/>
      <c r="K447" s="47"/>
    </row>
    <row r="448" spans="1:11" s="16" customFormat="1" ht="22.5" customHeight="1" x14ac:dyDescent="0.2">
      <c r="A448" s="31"/>
      <c r="B448" s="35"/>
      <c r="C448" s="55">
        <v>4700</v>
      </c>
      <c r="D448" s="56" t="s">
        <v>36</v>
      </c>
      <c r="E448" s="43">
        <v>3425</v>
      </c>
      <c r="F448" s="43">
        <v>500</v>
      </c>
      <c r="G448" s="43"/>
      <c r="H448" s="41">
        <f t="shared" si="80"/>
        <v>3925</v>
      </c>
      <c r="I448" s="46"/>
      <c r="J448" s="47"/>
      <c r="K448" s="47"/>
    </row>
    <row r="449" spans="1:11" s="16" customFormat="1" ht="12" customHeight="1" x14ac:dyDescent="0.2">
      <c r="A449" s="31"/>
      <c r="B449" s="35"/>
      <c r="C449" s="25">
        <v>4710</v>
      </c>
      <c r="D449" s="54" t="s">
        <v>37</v>
      </c>
      <c r="E449" s="43">
        <v>8001</v>
      </c>
      <c r="F449" s="43"/>
      <c r="G449" s="43">
        <v>2240</v>
      </c>
      <c r="H449" s="41">
        <f t="shared" si="80"/>
        <v>5761</v>
      </c>
      <c r="I449" s="46"/>
      <c r="J449" s="47"/>
      <c r="K449" s="47"/>
    </row>
    <row r="450" spans="1:11" s="16" customFormat="1" ht="12" customHeight="1" x14ac:dyDescent="0.2">
      <c r="A450" s="31"/>
      <c r="B450" s="35"/>
      <c r="C450" s="25">
        <v>4790</v>
      </c>
      <c r="D450" s="39" t="s">
        <v>201</v>
      </c>
      <c r="E450" s="43">
        <v>2580710</v>
      </c>
      <c r="F450" s="43"/>
      <c r="G450" s="43">
        <v>45000</v>
      </c>
      <c r="H450" s="41">
        <f t="shared" si="80"/>
        <v>2535710</v>
      </c>
      <c r="I450" s="46"/>
      <c r="J450" s="47"/>
      <c r="K450" s="47"/>
    </row>
    <row r="451" spans="1:11" s="16" customFormat="1" ht="12" customHeight="1" x14ac:dyDescent="0.2">
      <c r="A451" s="31"/>
      <c r="B451" s="57">
        <v>85410</v>
      </c>
      <c r="C451" s="154"/>
      <c r="D451" s="68" t="s">
        <v>86</v>
      </c>
      <c r="E451" s="37">
        <v>4133074.43</v>
      </c>
      <c r="F451" s="38">
        <f>SUM(F452,F454)</f>
        <v>12250</v>
      </c>
      <c r="G451" s="38">
        <f>SUM(G452,G454)</f>
        <v>21250</v>
      </c>
      <c r="H451" s="37">
        <f t="shared" si="71"/>
        <v>4124074.43</v>
      </c>
      <c r="I451" s="46"/>
      <c r="J451" s="47"/>
      <c r="K451" s="47"/>
    </row>
    <row r="452" spans="1:11" s="16" customFormat="1" ht="12" customHeight="1" x14ac:dyDescent="0.2">
      <c r="A452" s="31"/>
      <c r="B452" s="57"/>
      <c r="C452" s="26"/>
      <c r="D452" s="556" t="s">
        <v>185</v>
      </c>
      <c r="E452" s="557">
        <v>1123701</v>
      </c>
      <c r="F452" s="557">
        <f>SUM(F453:F453)</f>
        <v>0</v>
      </c>
      <c r="G452" s="557">
        <f>SUM(G453:G453)</f>
        <v>10000</v>
      </c>
      <c r="H452" s="557">
        <f t="shared" ref="H452:H453" si="81">SUM(E452+F452-G452)</f>
        <v>1113701</v>
      </c>
      <c r="I452" s="46"/>
      <c r="J452" s="47"/>
      <c r="K452" s="47"/>
    </row>
    <row r="453" spans="1:11" s="16" customFormat="1" ht="29.25" customHeight="1" x14ac:dyDescent="0.2">
      <c r="A453" s="31"/>
      <c r="B453" s="57"/>
      <c r="C453" s="55">
        <v>2590</v>
      </c>
      <c r="D453" s="172" t="s">
        <v>187</v>
      </c>
      <c r="E453" s="181">
        <v>1111326</v>
      </c>
      <c r="F453" s="181"/>
      <c r="G453" s="181">
        <v>10000</v>
      </c>
      <c r="H453" s="41">
        <f t="shared" si="81"/>
        <v>1101326</v>
      </c>
      <c r="I453" s="46"/>
      <c r="J453" s="47"/>
      <c r="K453" s="47"/>
    </row>
    <row r="454" spans="1:11" s="16" customFormat="1" ht="12" customHeight="1" x14ac:dyDescent="0.2">
      <c r="A454" s="31"/>
      <c r="B454" s="57"/>
      <c r="C454" s="26"/>
      <c r="D454" s="560" t="s">
        <v>19</v>
      </c>
      <c r="E454" s="557">
        <v>2962337</v>
      </c>
      <c r="F454" s="557">
        <f>SUM(F455:F457)</f>
        <v>12250</v>
      </c>
      <c r="G454" s="557">
        <f>SUM(G455:G457)</f>
        <v>11250</v>
      </c>
      <c r="H454" s="554">
        <f>SUM(E454+F454-G454)</f>
        <v>2963337</v>
      </c>
      <c r="I454" s="46"/>
      <c r="J454" s="47"/>
      <c r="K454" s="47"/>
    </row>
    <row r="455" spans="1:11" s="16" customFormat="1" ht="11.25" customHeight="1" x14ac:dyDescent="0.2">
      <c r="A455" s="31"/>
      <c r="B455" s="57"/>
      <c r="C455" s="25">
        <v>3020</v>
      </c>
      <c r="D455" s="39" t="s">
        <v>20</v>
      </c>
      <c r="E455" s="43">
        <v>92035</v>
      </c>
      <c r="F455" s="40">
        <v>1000</v>
      </c>
      <c r="G455" s="40"/>
      <c r="H455" s="41">
        <f t="shared" ref="H455:H457" si="82">SUM(E455+F455-G455)</f>
        <v>93035</v>
      </c>
      <c r="I455" s="46"/>
      <c r="J455" s="47"/>
      <c r="K455" s="47"/>
    </row>
    <row r="456" spans="1:11" s="16" customFormat="1" ht="21.75" customHeight="1" x14ac:dyDescent="0.2">
      <c r="A456" s="31"/>
      <c r="B456" s="57"/>
      <c r="C456" s="55">
        <v>3040</v>
      </c>
      <c r="D456" s="62" t="s">
        <v>188</v>
      </c>
      <c r="E456" s="43">
        <v>0</v>
      </c>
      <c r="F456" s="40">
        <v>11250</v>
      </c>
      <c r="G456" s="40"/>
      <c r="H456" s="41">
        <f t="shared" si="82"/>
        <v>11250</v>
      </c>
      <c r="I456" s="46"/>
      <c r="J456" s="47"/>
      <c r="K456" s="47"/>
    </row>
    <row r="457" spans="1:11" s="16" customFormat="1" ht="12" customHeight="1" x14ac:dyDescent="0.2">
      <c r="A457" s="31"/>
      <c r="B457" s="57"/>
      <c r="C457" s="25">
        <v>4790</v>
      </c>
      <c r="D457" s="39" t="s">
        <v>201</v>
      </c>
      <c r="E457" s="43">
        <v>923023</v>
      </c>
      <c r="F457" s="40"/>
      <c r="G457" s="40">
        <v>11250</v>
      </c>
      <c r="H457" s="41">
        <f t="shared" si="82"/>
        <v>911773</v>
      </c>
      <c r="I457" s="46"/>
      <c r="J457" s="47"/>
      <c r="K457" s="47"/>
    </row>
    <row r="458" spans="1:11" s="16" customFormat="1" ht="12" customHeight="1" x14ac:dyDescent="0.2">
      <c r="A458" s="31"/>
      <c r="B458" s="25">
        <v>85415</v>
      </c>
      <c r="C458" s="35"/>
      <c r="D458" s="36" t="s">
        <v>125</v>
      </c>
      <c r="E458" s="66">
        <v>655400</v>
      </c>
      <c r="F458" s="37">
        <f>SUM(F459,F461,F463)</f>
        <v>95540</v>
      </c>
      <c r="G458" s="37">
        <f>SUM(G459,G461)</f>
        <v>0</v>
      </c>
      <c r="H458" s="66">
        <f>SUM(E458+F458-G458)</f>
        <v>750940</v>
      </c>
      <c r="I458" s="46"/>
      <c r="J458" s="47"/>
      <c r="K458" s="47"/>
    </row>
    <row r="459" spans="1:11" s="16" customFormat="1" ht="12" customHeight="1" x14ac:dyDescent="0.2">
      <c r="A459" s="31"/>
      <c r="B459" s="35"/>
      <c r="C459" s="26"/>
      <c r="D459" s="560" t="s">
        <v>19</v>
      </c>
      <c r="E459" s="557">
        <v>5400</v>
      </c>
      <c r="F459" s="557">
        <f>SUM(F460)</f>
        <v>75400</v>
      </c>
      <c r="G459" s="557">
        <f>SUM(G460)</f>
        <v>0</v>
      </c>
      <c r="H459" s="554">
        <f>SUM(E459+F459-G459)</f>
        <v>80800</v>
      </c>
      <c r="I459" s="46"/>
      <c r="J459" s="47"/>
      <c r="K459" s="47"/>
    </row>
    <row r="460" spans="1:11" s="16" customFormat="1" ht="12" customHeight="1" x14ac:dyDescent="0.2">
      <c r="A460" s="31"/>
      <c r="B460" s="70"/>
      <c r="C460" s="57">
        <v>3260</v>
      </c>
      <c r="D460" s="54" t="s">
        <v>244</v>
      </c>
      <c r="E460" s="43">
        <v>0</v>
      </c>
      <c r="F460" s="43">
        <v>75400</v>
      </c>
      <c r="G460" s="43"/>
      <c r="H460" s="42">
        <f>SUM(E460+F460-G460)</f>
        <v>75400</v>
      </c>
      <c r="I460" s="46"/>
      <c r="J460" s="47"/>
      <c r="K460" s="47"/>
    </row>
    <row r="461" spans="1:11" s="16" customFormat="1" ht="12" customHeight="1" x14ac:dyDescent="0.2">
      <c r="A461" s="31"/>
      <c r="B461" s="70"/>
      <c r="C461" s="53"/>
      <c r="D461" s="556" t="s">
        <v>185</v>
      </c>
      <c r="E461" s="554">
        <v>650000</v>
      </c>
      <c r="F461" s="554">
        <f>SUM(F462)</f>
        <v>140</v>
      </c>
      <c r="G461" s="554">
        <f>SUM(G462)</f>
        <v>0</v>
      </c>
      <c r="H461" s="566">
        <f t="shared" ref="H461:H464" si="83">SUM(E461+F461-G461)</f>
        <v>650140</v>
      </c>
      <c r="I461" s="46"/>
      <c r="J461" s="47"/>
      <c r="K461" s="47"/>
    </row>
    <row r="462" spans="1:11" s="16" customFormat="1" ht="12" customHeight="1" x14ac:dyDescent="0.2">
      <c r="A462" s="31"/>
      <c r="B462" s="70"/>
      <c r="C462" s="57">
        <v>3260</v>
      </c>
      <c r="D462" s="54" t="s">
        <v>245</v>
      </c>
      <c r="E462" s="43">
        <v>50000</v>
      </c>
      <c r="F462" s="43">
        <v>140</v>
      </c>
      <c r="G462" s="43"/>
      <c r="H462" s="42">
        <f t="shared" si="83"/>
        <v>50140</v>
      </c>
      <c r="I462" s="46"/>
      <c r="J462" s="47"/>
      <c r="K462" s="47"/>
    </row>
    <row r="463" spans="1:11" s="16" customFormat="1" ht="23.25" customHeight="1" x14ac:dyDescent="0.2">
      <c r="A463" s="31"/>
      <c r="B463" s="70"/>
      <c r="C463" s="53"/>
      <c r="D463" s="573" t="s">
        <v>246</v>
      </c>
      <c r="E463" s="554">
        <v>0</v>
      </c>
      <c r="F463" s="554">
        <f>SUM(F464)</f>
        <v>20000</v>
      </c>
      <c r="G463" s="554">
        <f>SUM(G464)</f>
        <v>0</v>
      </c>
      <c r="H463" s="566">
        <f t="shared" si="83"/>
        <v>20000</v>
      </c>
      <c r="I463" s="46"/>
      <c r="J463" s="47"/>
      <c r="K463" s="47"/>
    </row>
    <row r="464" spans="1:11" s="16" customFormat="1" ht="21.75" customHeight="1" x14ac:dyDescent="0.2">
      <c r="A464" s="31"/>
      <c r="B464" s="70"/>
      <c r="C464" s="55">
        <v>3290</v>
      </c>
      <c r="D464" s="62" t="s">
        <v>224</v>
      </c>
      <c r="E464" s="43">
        <v>0</v>
      </c>
      <c r="F464" s="43">
        <v>20000</v>
      </c>
      <c r="G464" s="43"/>
      <c r="H464" s="42">
        <f t="shared" si="83"/>
        <v>20000</v>
      </c>
      <c r="I464" s="46"/>
      <c r="J464" s="47"/>
      <c r="K464" s="47"/>
    </row>
    <row r="465" spans="1:11" s="16" customFormat="1" ht="12" customHeight="1" x14ac:dyDescent="0.2">
      <c r="A465" s="31"/>
      <c r="B465" s="35">
        <v>85417</v>
      </c>
      <c r="C465" s="25"/>
      <c r="D465" s="72" t="s">
        <v>89</v>
      </c>
      <c r="E465" s="66">
        <v>185516</v>
      </c>
      <c r="F465" s="38">
        <f>SUM(F466)</f>
        <v>0</v>
      </c>
      <c r="G465" s="38">
        <f>SUM(G466)</f>
        <v>1000</v>
      </c>
      <c r="H465" s="37">
        <f>SUM(E465+F465-G465)</f>
        <v>184516</v>
      </c>
      <c r="I465" s="46"/>
      <c r="J465" s="47"/>
      <c r="K465" s="47"/>
    </row>
    <row r="466" spans="1:11" s="16" customFormat="1" ht="12" customHeight="1" x14ac:dyDescent="0.2">
      <c r="A466" s="31"/>
      <c r="B466" s="35"/>
      <c r="C466" s="25"/>
      <c r="D466" s="560" t="s">
        <v>19</v>
      </c>
      <c r="E466" s="569">
        <v>185516</v>
      </c>
      <c r="F466" s="569">
        <f>SUM(F467)</f>
        <v>0</v>
      </c>
      <c r="G466" s="569">
        <f>SUM(G467)</f>
        <v>1000</v>
      </c>
      <c r="H466" s="554">
        <f>SUM(E466+F466-G466)</f>
        <v>184516</v>
      </c>
      <c r="I466" s="46"/>
      <c r="J466" s="47"/>
      <c r="K466" s="47"/>
    </row>
    <row r="467" spans="1:11" s="16" customFormat="1" ht="12" customHeight="1" x14ac:dyDescent="0.2">
      <c r="A467" s="63"/>
      <c r="B467" s="64"/>
      <c r="C467" s="65">
        <v>4010</v>
      </c>
      <c r="D467" s="36" t="s">
        <v>21</v>
      </c>
      <c r="E467" s="66">
        <v>10444</v>
      </c>
      <c r="F467" s="66"/>
      <c r="G467" s="66">
        <v>1000</v>
      </c>
      <c r="H467" s="37">
        <f t="shared" ref="H467" si="84">SUM(E467+F467-G467)</f>
        <v>9444</v>
      </c>
      <c r="I467" s="46"/>
      <c r="J467" s="47"/>
      <c r="K467" s="47"/>
    </row>
    <row r="468" spans="1:11" s="16" customFormat="1" ht="12" customHeight="1" x14ac:dyDescent="0.2">
      <c r="A468" s="31"/>
      <c r="B468" s="25">
        <v>85420</v>
      </c>
      <c r="C468" s="25"/>
      <c r="D468" s="148" t="s">
        <v>90</v>
      </c>
      <c r="E468" s="37">
        <v>6830329</v>
      </c>
      <c r="F468" s="38">
        <f>SUM(F469)</f>
        <v>30325</v>
      </c>
      <c r="G468" s="38">
        <f>SUM(G469)</f>
        <v>30325</v>
      </c>
      <c r="H468" s="37">
        <f>SUM(E468+F468-G468)</f>
        <v>6830329</v>
      </c>
      <c r="I468" s="46"/>
      <c r="J468" s="47"/>
      <c r="K468" s="47"/>
    </row>
    <row r="469" spans="1:11" s="16" customFormat="1" ht="12" customHeight="1" x14ac:dyDescent="0.2">
      <c r="A469" s="31"/>
      <c r="B469" s="35"/>
      <c r="C469" s="26"/>
      <c r="D469" s="560" t="s">
        <v>19</v>
      </c>
      <c r="E469" s="554">
        <v>6780329</v>
      </c>
      <c r="F469" s="566">
        <f>SUM(F470:F473)</f>
        <v>30325</v>
      </c>
      <c r="G469" s="566">
        <f>SUM(G470:G473)</f>
        <v>30325</v>
      </c>
      <c r="H469" s="554">
        <f>SUM(E469+F469-G469)</f>
        <v>6780329</v>
      </c>
      <c r="I469" s="46"/>
      <c r="J469" s="47"/>
      <c r="K469" s="47"/>
    </row>
    <row r="470" spans="1:11" s="16" customFormat="1" ht="21.75" customHeight="1" x14ac:dyDescent="0.2">
      <c r="A470" s="31"/>
      <c r="B470" s="35"/>
      <c r="C470" s="55">
        <v>3040</v>
      </c>
      <c r="D470" s="62" t="s">
        <v>188</v>
      </c>
      <c r="E470" s="41">
        <v>0</v>
      </c>
      <c r="F470" s="40">
        <v>28125</v>
      </c>
      <c r="G470" s="40"/>
      <c r="H470" s="42">
        <f t="shared" ref="H470:H473" si="85">SUM(E470+F470-G470)</f>
        <v>28125</v>
      </c>
      <c r="I470" s="46"/>
      <c r="J470" s="47"/>
      <c r="K470" s="47"/>
    </row>
    <row r="471" spans="1:11" s="16" customFormat="1" ht="12" customHeight="1" x14ac:dyDescent="0.2">
      <c r="A471" s="31"/>
      <c r="B471" s="35"/>
      <c r="C471" s="25">
        <v>4280</v>
      </c>
      <c r="D471" s="39" t="s">
        <v>31</v>
      </c>
      <c r="E471" s="41">
        <v>1501</v>
      </c>
      <c r="F471" s="40">
        <v>2200</v>
      </c>
      <c r="G471" s="40"/>
      <c r="H471" s="42">
        <f t="shared" si="85"/>
        <v>3701</v>
      </c>
      <c r="I471" s="46"/>
      <c r="J471" s="47"/>
      <c r="K471" s="47"/>
    </row>
    <row r="472" spans="1:11" s="16" customFormat="1" ht="12" customHeight="1" x14ac:dyDescent="0.2">
      <c r="A472" s="31"/>
      <c r="B472" s="35"/>
      <c r="C472" s="25">
        <v>4710</v>
      </c>
      <c r="D472" s="54" t="s">
        <v>37</v>
      </c>
      <c r="E472" s="41">
        <v>6175</v>
      </c>
      <c r="F472" s="40"/>
      <c r="G472" s="40">
        <v>2200</v>
      </c>
      <c r="H472" s="42">
        <f t="shared" si="85"/>
        <v>3975</v>
      </c>
      <c r="I472" s="46"/>
      <c r="J472" s="47"/>
      <c r="K472" s="47"/>
    </row>
    <row r="473" spans="1:11" s="16" customFormat="1" ht="12" customHeight="1" x14ac:dyDescent="0.2">
      <c r="A473" s="31"/>
      <c r="B473" s="35"/>
      <c r="C473" s="25">
        <v>4790</v>
      </c>
      <c r="D473" s="39" t="s">
        <v>201</v>
      </c>
      <c r="E473" s="41">
        <v>2961739</v>
      </c>
      <c r="F473" s="40"/>
      <c r="G473" s="40">
        <v>28125</v>
      </c>
      <c r="H473" s="42">
        <f t="shared" si="85"/>
        <v>2933614</v>
      </c>
      <c r="I473" s="46"/>
      <c r="J473" s="47"/>
      <c r="K473" s="47"/>
    </row>
    <row r="474" spans="1:11" s="16" customFormat="1" ht="12" customHeight="1" thickBot="1" x14ac:dyDescent="0.25">
      <c r="A474" s="31">
        <v>855</v>
      </c>
      <c r="B474" s="31"/>
      <c r="C474" s="32"/>
      <c r="D474" s="33" t="s">
        <v>129</v>
      </c>
      <c r="E474" s="34">
        <v>51868603.219999999</v>
      </c>
      <c r="F474" s="34">
        <f>SUM(F475,F481,F486)</f>
        <v>61054</v>
      </c>
      <c r="G474" s="34">
        <f>SUM(G475,G481,G486)</f>
        <v>31126</v>
      </c>
      <c r="H474" s="34">
        <f>SUM(E474+F474-G474)</f>
        <v>51898531.219999999</v>
      </c>
      <c r="I474" s="46"/>
      <c r="J474" s="47"/>
      <c r="K474" s="47"/>
    </row>
    <row r="475" spans="1:11" s="16" customFormat="1" ht="33.75" customHeight="1" thickTop="1" x14ac:dyDescent="0.2">
      <c r="A475" s="31"/>
      <c r="B475" s="55">
        <v>85502</v>
      </c>
      <c r="C475" s="26"/>
      <c r="D475" s="151" t="s">
        <v>247</v>
      </c>
      <c r="E475" s="37">
        <v>1205854</v>
      </c>
      <c r="F475" s="38">
        <f>SUM(F476)</f>
        <v>7271</v>
      </c>
      <c r="G475" s="38">
        <f>SUM(G476)</f>
        <v>7271</v>
      </c>
      <c r="H475" s="37">
        <f>SUM(E475+F475-G475)</f>
        <v>1205854</v>
      </c>
      <c r="I475" s="46"/>
      <c r="J475" s="47"/>
      <c r="K475" s="47"/>
    </row>
    <row r="476" spans="1:11" s="16" customFormat="1" ht="12" customHeight="1" x14ac:dyDescent="0.2">
      <c r="A476" s="31"/>
      <c r="B476" s="31"/>
      <c r="C476" s="53"/>
      <c r="D476" s="559" t="s">
        <v>225</v>
      </c>
      <c r="E476" s="554">
        <v>948013</v>
      </c>
      <c r="F476" s="555">
        <f>SUM(F477:F480)</f>
        <v>7271</v>
      </c>
      <c r="G476" s="555">
        <f>SUM(G477:G480)</f>
        <v>7271</v>
      </c>
      <c r="H476" s="554">
        <f t="shared" ref="H476:H485" si="86">SUM(E476+F476-G476)</f>
        <v>948013</v>
      </c>
      <c r="I476" s="46"/>
      <c r="J476" s="47"/>
      <c r="K476" s="47"/>
    </row>
    <row r="477" spans="1:11" s="16" customFormat="1" ht="12" customHeight="1" x14ac:dyDescent="0.2">
      <c r="A477" s="31"/>
      <c r="B477" s="35"/>
      <c r="C477" s="25">
        <v>4010</v>
      </c>
      <c r="D477" s="39" t="s">
        <v>21</v>
      </c>
      <c r="E477" s="40">
        <v>488955</v>
      </c>
      <c r="F477" s="43">
        <v>7171</v>
      </c>
      <c r="G477" s="40"/>
      <c r="H477" s="41">
        <f t="shared" si="86"/>
        <v>496126</v>
      </c>
      <c r="I477" s="46"/>
      <c r="J477" s="47"/>
      <c r="K477" s="47"/>
    </row>
    <row r="478" spans="1:11" s="16" customFormat="1" ht="12" customHeight="1" x14ac:dyDescent="0.2">
      <c r="A478" s="31"/>
      <c r="B478" s="35"/>
      <c r="C478" s="25">
        <v>4110</v>
      </c>
      <c r="D478" s="39" t="s">
        <v>23</v>
      </c>
      <c r="E478" s="40">
        <v>86541</v>
      </c>
      <c r="F478" s="43"/>
      <c r="G478" s="40">
        <v>100</v>
      </c>
      <c r="H478" s="41">
        <f t="shared" si="86"/>
        <v>86441</v>
      </c>
      <c r="I478" s="46"/>
      <c r="J478" s="47"/>
      <c r="K478" s="47"/>
    </row>
    <row r="479" spans="1:11" s="16" customFormat="1" ht="12" customHeight="1" x14ac:dyDescent="0.2">
      <c r="A479" s="31"/>
      <c r="B479" s="35"/>
      <c r="C479" s="25">
        <v>4440</v>
      </c>
      <c r="D479" s="39" t="s">
        <v>35</v>
      </c>
      <c r="E479" s="40">
        <v>25215</v>
      </c>
      <c r="F479" s="43"/>
      <c r="G479" s="40">
        <v>7171</v>
      </c>
      <c r="H479" s="41">
        <f t="shared" si="86"/>
        <v>18044</v>
      </c>
      <c r="I479" s="46"/>
      <c r="J479" s="47"/>
      <c r="K479" s="47"/>
    </row>
    <row r="480" spans="1:11" s="16" customFormat="1" ht="12" customHeight="1" x14ac:dyDescent="0.2">
      <c r="A480" s="31"/>
      <c r="B480" s="35"/>
      <c r="C480" s="25">
        <v>4710</v>
      </c>
      <c r="D480" s="54" t="s">
        <v>37</v>
      </c>
      <c r="E480" s="40">
        <v>0</v>
      </c>
      <c r="F480" s="43">
        <v>100</v>
      </c>
      <c r="G480" s="40"/>
      <c r="H480" s="41">
        <f t="shared" si="86"/>
        <v>100</v>
      </c>
      <c r="I480" s="46"/>
      <c r="J480" s="47"/>
      <c r="K480" s="47"/>
    </row>
    <row r="481" spans="1:11" s="16" customFormat="1" ht="12" customHeight="1" x14ac:dyDescent="0.2">
      <c r="A481" s="31"/>
      <c r="B481" s="35">
        <v>85510</v>
      </c>
      <c r="C481" s="25"/>
      <c r="D481" s="36" t="s">
        <v>248</v>
      </c>
      <c r="E481" s="66">
        <v>38143344</v>
      </c>
      <c r="F481" s="37">
        <f>SUM(F482)</f>
        <v>22200</v>
      </c>
      <c r="G481" s="37">
        <f>SUM(G482)</f>
        <v>22200</v>
      </c>
      <c r="H481" s="37">
        <f t="shared" si="86"/>
        <v>38143344</v>
      </c>
      <c r="I481" s="46"/>
      <c r="J481" s="47"/>
      <c r="K481" s="47"/>
    </row>
    <row r="482" spans="1:11" s="16" customFormat="1" ht="12" customHeight="1" x14ac:dyDescent="0.2">
      <c r="A482" s="31"/>
      <c r="B482" s="35"/>
      <c r="C482" s="26"/>
      <c r="D482" s="575" t="s">
        <v>249</v>
      </c>
      <c r="E482" s="554">
        <v>4277845</v>
      </c>
      <c r="F482" s="566">
        <f>SUM(F483:F485)</f>
        <v>22200</v>
      </c>
      <c r="G482" s="566">
        <f>SUM(G483:G485)</f>
        <v>22200</v>
      </c>
      <c r="H482" s="554">
        <f t="shared" si="86"/>
        <v>4277845</v>
      </c>
      <c r="I482" s="46"/>
      <c r="J482" s="47"/>
      <c r="K482" s="47"/>
    </row>
    <row r="483" spans="1:11" s="16" customFormat="1" ht="12" customHeight="1" x14ac:dyDescent="0.2">
      <c r="A483" s="31"/>
      <c r="B483" s="35"/>
      <c r="C483" s="53" t="s">
        <v>26</v>
      </c>
      <c r="D483" s="54" t="s">
        <v>27</v>
      </c>
      <c r="E483" s="43">
        <v>105749</v>
      </c>
      <c r="F483" s="40">
        <v>20000</v>
      </c>
      <c r="G483" s="40"/>
      <c r="H483" s="40">
        <f t="shared" si="86"/>
        <v>125749</v>
      </c>
      <c r="I483" s="46"/>
      <c r="J483" s="47"/>
      <c r="K483" s="47"/>
    </row>
    <row r="484" spans="1:11" s="16" customFormat="1" ht="12" customHeight="1" x14ac:dyDescent="0.2">
      <c r="A484" s="31"/>
      <c r="B484" s="35"/>
      <c r="C484" s="25">
        <v>4430</v>
      </c>
      <c r="D484" s="39" t="s">
        <v>34</v>
      </c>
      <c r="E484" s="43">
        <v>11500</v>
      </c>
      <c r="F484" s="40">
        <v>2200</v>
      </c>
      <c r="G484" s="40"/>
      <c r="H484" s="40">
        <f t="shared" si="86"/>
        <v>13700</v>
      </c>
      <c r="I484" s="46"/>
      <c r="J484" s="47"/>
      <c r="K484" s="47"/>
    </row>
    <row r="485" spans="1:11" s="16" customFormat="1" ht="12" customHeight="1" x14ac:dyDescent="0.2">
      <c r="A485" s="31"/>
      <c r="B485" s="35"/>
      <c r="C485" s="25">
        <v>4710</v>
      </c>
      <c r="D485" s="70" t="s">
        <v>37</v>
      </c>
      <c r="E485" s="43">
        <v>37934</v>
      </c>
      <c r="F485" s="40"/>
      <c r="G485" s="40">
        <v>22200</v>
      </c>
      <c r="H485" s="40">
        <f t="shared" si="86"/>
        <v>15734</v>
      </c>
      <c r="I485" s="46"/>
      <c r="J485" s="47"/>
      <c r="K485" s="47"/>
    </row>
    <row r="486" spans="1:11" s="16" customFormat="1" ht="12" customHeight="1" x14ac:dyDescent="0.2">
      <c r="A486" s="31"/>
      <c r="B486" s="55">
        <v>85595</v>
      </c>
      <c r="C486" s="26"/>
      <c r="D486" s="125" t="s">
        <v>14</v>
      </c>
      <c r="E486" s="37">
        <v>562024.22</v>
      </c>
      <c r="F486" s="38">
        <f>SUM(F487,F491)</f>
        <v>31583</v>
      </c>
      <c r="G486" s="38">
        <f>SUM(G487,G491)</f>
        <v>1655</v>
      </c>
      <c r="H486" s="37">
        <f>SUM(E486+F486-G486)</f>
        <v>591952.22</v>
      </c>
      <c r="I486" s="46"/>
      <c r="J486" s="47"/>
      <c r="K486" s="47"/>
    </row>
    <row r="487" spans="1:11" s="16" customFormat="1" ht="24" customHeight="1" x14ac:dyDescent="0.2">
      <c r="A487" s="31"/>
      <c r="B487" s="35"/>
      <c r="C487" s="53"/>
      <c r="D487" s="559" t="s">
        <v>250</v>
      </c>
      <c r="E487" s="554">
        <v>160080</v>
      </c>
      <c r="F487" s="555">
        <f>SUM(F488:F490)</f>
        <v>29928</v>
      </c>
      <c r="G487" s="555">
        <f>SUM(G488:G490)</f>
        <v>0</v>
      </c>
      <c r="H487" s="554">
        <f t="shared" ref="H487:H516" si="87">SUM(E487+F487-G487)</f>
        <v>190008</v>
      </c>
      <c r="I487" s="61"/>
      <c r="J487" s="47"/>
      <c r="K487" s="47"/>
    </row>
    <row r="488" spans="1:11" s="16" customFormat="1" ht="22.5" customHeight="1" x14ac:dyDescent="0.2">
      <c r="A488" s="31"/>
      <c r="B488" s="35"/>
      <c r="C488" s="55">
        <v>3290</v>
      </c>
      <c r="D488" s="62" t="s">
        <v>224</v>
      </c>
      <c r="E488" s="41">
        <v>156499</v>
      </c>
      <c r="F488" s="41">
        <v>29155</v>
      </c>
      <c r="G488" s="42"/>
      <c r="H488" s="41">
        <f t="shared" si="87"/>
        <v>185654</v>
      </c>
      <c r="I488" s="46"/>
      <c r="J488" s="47"/>
      <c r="K488" s="47"/>
    </row>
    <row r="489" spans="1:11" s="16" customFormat="1" ht="22.5" customHeight="1" x14ac:dyDescent="0.2">
      <c r="A489" s="31"/>
      <c r="B489" s="35"/>
      <c r="C489" s="55">
        <v>4740</v>
      </c>
      <c r="D489" s="62" t="s">
        <v>251</v>
      </c>
      <c r="E489" s="40">
        <v>2986</v>
      </c>
      <c r="F489" s="43">
        <v>644</v>
      </c>
      <c r="G489" s="40"/>
      <c r="H489" s="41">
        <f t="shared" si="87"/>
        <v>3630</v>
      </c>
      <c r="I489" s="46"/>
      <c r="J489" s="47"/>
      <c r="K489" s="47"/>
    </row>
    <row r="490" spans="1:11" s="16" customFormat="1" ht="21.75" customHeight="1" x14ac:dyDescent="0.2">
      <c r="A490" s="31"/>
      <c r="B490" s="35"/>
      <c r="C490" s="55">
        <v>4850</v>
      </c>
      <c r="D490" s="62" t="s">
        <v>190</v>
      </c>
      <c r="E490" s="40">
        <v>595</v>
      </c>
      <c r="F490" s="43">
        <v>129</v>
      </c>
      <c r="G490" s="40"/>
      <c r="H490" s="41">
        <f t="shared" si="87"/>
        <v>724</v>
      </c>
      <c r="I490" s="46"/>
      <c r="J490" s="47"/>
      <c r="K490" s="47"/>
    </row>
    <row r="491" spans="1:11" s="16" customFormat="1" ht="21" customHeight="1" x14ac:dyDescent="0.2">
      <c r="A491" s="31"/>
      <c r="B491" s="35"/>
      <c r="C491" s="57"/>
      <c r="D491" s="571" t="s">
        <v>252</v>
      </c>
      <c r="E491" s="554">
        <v>277637.21999999997</v>
      </c>
      <c r="F491" s="566">
        <f>SUM(F492:F505)</f>
        <v>1655</v>
      </c>
      <c r="G491" s="566">
        <f>SUM(G492:G505)</f>
        <v>1655</v>
      </c>
      <c r="H491" s="554">
        <f t="shared" si="87"/>
        <v>277637.21999999997</v>
      </c>
      <c r="I491" s="46"/>
      <c r="J491" s="47"/>
      <c r="K491" s="47"/>
    </row>
    <row r="492" spans="1:11" s="16" customFormat="1" ht="12" customHeight="1" x14ac:dyDescent="0.2">
      <c r="A492" s="31"/>
      <c r="B492" s="35"/>
      <c r="C492" s="25">
        <v>4017</v>
      </c>
      <c r="D492" s="39" t="s">
        <v>21</v>
      </c>
      <c r="E492" s="43">
        <v>69617.350000000006</v>
      </c>
      <c r="F492" s="40">
        <v>1190.08</v>
      </c>
      <c r="G492" s="40"/>
      <c r="H492" s="42">
        <f t="shared" si="87"/>
        <v>70807.430000000008</v>
      </c>
      <c r="I492" s="46"/>
      <c r="J492" s="47"/>
      <c r="K492" s="47"/>
    </row>
    <row r="493" spans="1:11" s="16" customFormat="1" ht="12" customHeight="1" x14ac:dyDescent="0.2">
      <c r="A493" s="31"/>
      <c r="B493" s="35"/>
      <c r="C493" s="25">
        <v>4019</v>
      </c>
      <c r="D493" s="39" t="s">
        <v>21</v>
      </c>
      <c r="E493" s="43">
        <v>4095.1299999999997</v>
      </c>
      <c r="F493" s="40">
        <v>70.010000000000005</v>
      </c>
      <c r="G493" s="40"/>
      <c r="H493" s="42">
        <f t="shared" si="87"/>
        <v>4165.1399999999994</v>
      </c>
      <c r="I493" s="46"/>
      <c r="J493" s="182"/>
      <c r="K493" s="182"/>
    </row>
    <row r="494" spans="1:11" s="16" customFormat="1" ht="12" customHeight="1" x14ac:dyDescent="0.2">
      <c r="A494" s="31"/>
      <c r="B494" s="35"/>
      <c r="C494" s="25">
        <v>4117</v>
      </c>
      <c r="D494" s="39" t="s">
        <v>235</v>
      </c>
      <c r="E494" s="43">
        <v>12843.79</v>
      </c>
      <c r="F494" s="42">
        <v>207.8</v>
      </c>
      <c r="G494" s="42"/>
      <c r="H494" s="42">
        <f t="shared" si="87"/>
        <v>13051.59</v>
      </c>
      <c r="I494" s="46"/>
      <c r="J494" s="182"/>
      <c r="K494" s="182"/>
    </row>
    <row r="495" spans="1:11" s="16" customFormat="1" ht="12" customHeight="1" x14ac:dyDescent="0.2">
      <c r="A495" s="31"/>
      <c r="B495" s="35"/>
      <c r="C495" s="25">
        <v>4119</v>
      </c>
      <c r="D495" s="39" t="s">
        <v>235</v>
      </c>
      <c r="E495" s="43">
        <v>755.5200000000001</v>
      </c>
      <c r="F495" s="42">
        <v>12.22</v>
      </c>
      <c r="G495" s="42"/>
      <c r="H495" s="42">
        <f t="shared" si="87"/>
        <v>767.74000000000012</v>
      </c>
      <c r="I495" s="46"/>
      <c r="J495" s="47"/>
      <c r="K495" s="47"/>
    </row>
    <row r="496" spans="1:11" s="16" customFormat="1" ht="12" customHeight="1" x14ac:dyDescent="0.2">
      <c r="A496" s="31"/>
      <c r="B496" s="35"/>
      <c r="C496" s="25">
        <v>4127</v>
      </c>
      <c r="D496" s="54" t="s">
        <v>237</v>
      </c>
      <c r="E496" s="43">
        <v>1542.31</v>
      </c>
      <c r="F496" s="42">
        <v>29.18</v>
      </c>
      <c r="G496" s="42"/>
      <c r="H496" s="42">
        <f t="shared" si="87"/>
        <v>1571.49</v>
      </c>
      <c r="I496" s="46"/>
      <c r="J496" s="47"/>
      <c r="K496" s="47"/>
    </row>
    <row r="497" spans="1:11" s="16" customFormat="1" ht="12" customHeight="1" x14ac:dyDescent="0.2">
      <c r="A497" s="31"/>
      <c r="B497" s="35"/>
      <c r="C497" s="25">
        <v>4129</v>
      </c>
      <c r="D497" s="54" t="s">
        <v>237</v>
      </c>
      <c r="E497" s="43">
        <v>90.72</v>
      </c>
      <c r="F497" s="42">
        <v>1.72</v>
      </c>
      <c r="G497" s="42"/>
      <c r="H497" s="42">
        <f t="shared" si="87"/>
        <v>92.44</v>
      </c>
      <c r="I497" s="46"/>
      <c r="J497" s="47"/>
      <c r="K497" s="47"/>
    </row>
    <row r="498" spans="1:11" s="16" customFormat="1" ht="12" customHeight="1" x14ac:dyDescent="0.2">
      <c r="A498" s="31"/>
      <c r="B498" s="35"/>
      <c r="C498" s="25">
        <v>4307</v>
      </c>
      <c r="D498" s="39" t="s">
        <v>15</v>
      </c>
      <c r="E498" s="43">
        <v>135032.15</v>
      </c>
      <c r="F498" s="42"/>
      <c r="G498" s="42">
        <v>872.67</v>
      </c>
      <c r="H498" s="42">
        <f t="shared" si="87"/>
        <v>134159.47999999998</v>
      </c>
      <c r="I498" s="46"/>
      <c r="J498" s="47"/>
      <c r="K498" s="47"/>
    </row>
    <row r="499" spans="1:11" s="16" customFormat="1" ht="12" customHeight="1" x14ac:dyDescent="0.2">
      <c r="A499" s="31"/>
      <c r="B499" s="35"/>
      <c r="C499" s="25">
        <v>4309</v>
      </c>
      <c r="D499" s="39" t="s">
        <v>15</v>
      </c>
      <c r="E499" s="43">
        <v>7943.0700000000006</v>
      </c>
      <c r="F499" s="42"/>
      <c r="G499" s="42">
        <v>51.33</v>
      </c>
      <c r="H499" s="42">
        <f t="shared" si="87"/>
        <v>7891.7400000000007</v>
      </c>
      <c r="I499" s="46"/>
      <c r="J499" s="47"/>
      <c r="K499" s="47"/>
    </row>
    <row r="500" spans="1:11" s="16" customFormat="1" ht="12" customHeight="1" x14ac:dyDescent="0.2">
      <c r="A500" s="31"/>
      <c r="B500" s="35"/>
      <c r="C500" s="25">
        <v>4417</v>
      </c>
      <c r="D500" s="54" t="s">
        <v>33</v>
      </c>
      <c r="E500" s="43">
        <v>859.44</v>
      </c>
      <c r="F500" s="42"/>
      <c r="G500" s="42">
        <v>690.38</v>
      </c>
      <c r="H500" s="42">
        <f t="shared" si="87"/>
        <v>169.06000000000006</v>
      </c>
      <c r="I500" s="46"/>
      <c r="J500" s="47"/>
      <c r="K500" s="47"/>
    </row>
    <row r="501" spans="1:11" s="16" customFormat="1" ht="12" customHeight="1" x14ac:dyDescent="0.2">
      <c r="A501" s="31"/>
      <c r="B501" s="35"/>
      <c r="C501" s="25">
        <v>4419</v>
      </c>
      <c r="D501" s="54" t="s">
        <v>33</v>
      </c>
      <c r="E501" s="43">
        <v>50.56</v>
      </c>
      <c r="F501" s="42"/>
      <c r="G501" s="42">
        <v>40.619999999999997</v>
      </c>
      <c r="H501" s="42">
        <f t="shared" si="87"/>
        <v>9.9400000000000048</v>
      </c>
      <c r="I501" s="46"/>
      <c r="J501" s="47"/>
      <c r="K501" s="47"/>
    </row>
    <row r="502" spans="1:11" s="16" customFormat="1" ht="12" customHeight="1" x14ac:dyDescent="0.2">
      <c r="A502" s="31"/>
      <c r="B502" s="35"/>
      <c r="C502" s="25">
        <v>4447</v>
      </c>
      <c r="D502" s="39" t="s">
        <v>35</v>
      </c>
      <c r="E502" s="43">
        <v>1570.58</v>
      </c>
      <c r="F502" s="42">
        <v>118.14</v>
      </c>
      <c r="G502" s="42"/>
      <c r="H502" s="42">
        <f t="shared" si="87"/>
        <v>1688.72</v>
      </c>
      <c r="I502" s="46"/>
      <c r="J502" s="47"/>
      <c r="K502" s="47"/>
    </row>
    <row r="503" spans="1:11" s="16" customFormat="1" ht="12" customHeight="1" x14ac:dyDescent="0.2">
      <c r="A503" s="31"/>
      <c r="B503" s="35"/>
      <c r="C503" s="25">
        <v>4449</v>
      </c>
      <c r="D503" s="39" t="s">
        <v>35</v>
      </c>
      <c r="E503" s="43">
        <v>92.39</v>
      </c>
      <c r="F503" s="42">
        <v>6.95</v>
      </c>
      <c r="G503" s="42"/>
      <c r="H503" s="42">
        <f t="shared" si="87"/>
        <v>99.34</v>
      </c>
      <c r="I503" s="46"/>
      <c r="J503" s="47"/>
      <c r="K503" s="47"/>
    </row>
    <row r="504" spans="1:11" s="16" customFormat="1" ht="12" customHeight="1" x14ac:dyDescent="0.2">
      <c r="A504" s="31"/>
      <c r="B504" s="35"/>
      <c r="C504" s="25">
        <v>4717</v>
      </c>
      <c r="D504" s="54" t="s">
        <v>37</v>
      </c>
      <c r="E504" s="43">
        <v>901.68999999999983</v>
      </c>
      <c r="F504" s="42">
        <v>17.850000000000001</v>
      </c>
      <c r="G504" s="42"/>
      <c r="H504" s="42">
        <f t="shared" si="87"/>
        <v>919.53999999999985</v>
      </c>
      <c r="I504" s="46"/>
      <c r="J504" s="47"/>
      <c r="K504" s="47"/>
    </row>
    <row r="505" spans="1:11" s="16" customFormat="1" ht="12" customHeight="1" x14ac:dyDescent="0.2">
      <c r="A505" s="31"/>
      <c r="B505" s="35"/>
      <c r="C505" s="25">
        <v>4719</v>
      </c>
      <c r="D505" s="54" t="s">
        <v>37</v>
      </c>
      <c r="E505" s="43">
        <v>53.039999999999992</v>
      </c>
      <c r="F505" s="42">
        <v>1.05</v>
      </c>
      <c r="G505" s="42"/>
      <c r="H505" s="42">
        <f t="shared" si="87"/>
        <v>54.089999999999989</v>
      </c>
      <c r="I505" s="46"/>
      <c r="J505" s="47"/>
      <c r="K505" s="47"/>
    </row>
    <row r="506" spans="1:11" s="16" customFormat="1" ht="12" customHeight="1" thickBot="1" x14ac:dyDescent="0.25">
      <c r="A506" s="119">
        <v>900</v>
      </c>
      <c r="B506" s="31"/>
      <c r="C506" s="32"/>
      <c r="D506" s="33" t="s">
        <v>253</v>
      </c>
      <c r="E506" s="30">
        <v>82217494.340000004</v>
      </c>
      <c r="F506" s="34">
        <f>SUM(F507,F511)</f>
        <v>160000</v>
      </c>
      <c r="G506" s="34">
        <f>SUM(G507,G511)</f>
        <v>160000</v>
      </c>
      <c r="H506" s="30">
        <f t="shared" si="87"/>
        <v>82217494.340000004</v>
      </c>
      <c r="I506" s="46"/>
      <c r="J506" s="47"/>
      <c r="K506" s="47"/>
    </row>
    <row r="507" spans="1:11" s="16" customFormat="1" ht="12" customHeight="1" thickTop="1" x14ac:dyDescent="0.2">
      <c r="A507" s="119"/>
      <c r="B507" s="57">
        <v>90015</v>
      </c>
      <c r="C507" s="159"/>
      <c r="D507" s="68" t="s">
        <v>254</v>
      </c>
      <c r="E507" s="66">
        <v>9612413.2600000016</v>
      </c>
      <c r="F507" s="175">
        <f>SUM(F508)</f>
        <v>10000</v>
      </c>
      <c r="G507" s="175">
        <f>SUM(G508)</f>
        <v>10000</v>
      </c>
      <c r="H507" s="37">
        <f t="shared" si="87"/>
        <v>9612413.2600000016</v>
      </c>
      <c r="I507" s="46"/>
      <c r="J507" s="47"/>
      <c r="K507" s="47"/>
    </row>
    <row r="508" spans="1:11" s="16" customFormat="1" ht="12" customHeight="1" x14ac:dyDescent="0.2">
      <c r="A508" s="119"/>
      <c r="B508" s="25"/>
      <c r="C508" s="25"/>
      <c r="D508" s="576" t="s">
        <v>255</v>
      </c>
      <c r="E508" s="569">
        <v>9033952.1400000006</v>
      </c>
      <c r="F508" s="570">
        <f>SUM(F509:F510)</f>
        <v>10000</v>
      </c>
      <c r="G508" s="570">
        <f>SUM(G509:G510)</f>
        <v>10000</v>
      </c>
      <c r="H508" s="554">
        <f>SUM(E508+F508-G508)</f>
        <v>9033952.1400000006</v>
      </c>
      <c r="I508" s="46"/>
      <c r="J508" s="47"/>
      <c r="K508" s="47"/>
    </row>
    <row r="509" spans="1:11" s="16" customFormat="1" ht="12" customHeight="1" x14ac:dyDescent="0.2">
      <c r="A509" s="119"/>
      <c r="B509" s="35"/>
      <c r="C509" s="25">
        <v>4260</v>
      </c>
      <c r="D509" s="39" t="s">
        <v>29</v>
      </c>
      <c r="E509" s="43">
        <v>7000000</v>
      </c>
      <c r="F509" s="40"/>
      <c r="G509" s="40">
        <v>10000</v>
      </c>
      <c r="H509" s="43">
        <f t="shared" ref="H509:H510" si="88">SUM(E509+F509-G509)</f>
        <v>6990000</v>
      </c>
      <c r="I509" s="46"/>
      <c r="J509" s="47"/>
      <c r="K509" s="47"/>
    </row>
    <row r="510" spans="1:11" s="16" customFormat="1" ht="21.75" customHeight="1" x14ac:dyDescent="0.2">
      <c r="A510" s="119"/>
      <c r="B510" s="35"/>
      <c r="C510" s="55">
        <v>4390</v>
      </c>
      <c r="D510" s="62" t="s">
        <v>175</v>
      </c>
      <c r="E510" s="43">
        <v>0</v>
      </c>
      <c r="F510" s="40">
        <v>10000</v>
      </c>
      <c r="G510" s="40"/>
      <c r="H510" s="43">
        <f t="shared" si="88"/>
        <v>10000</v>
      </c>
      <c r="I510" s="46"/>
      <c r="J510" s="47"/>
      <c r="K510" s="47"/>
    </row>
    <row r="511" spans="1:11" s="16" customFormat="1" ht="12" customHeight="1" x14ac:dyDescent="0.2">
      <c r="A511" s="31"/>
      <c r="B511" s="35">
        <v>90095</v>
      </c>
      <c r="C511" s="32"/>
      <c r="D511" s="125" t="s">
        <v>14</v>
      </c>
      <c r="E511" s="37">
        <v>30600783.310000002</v>
      </c>
      <c r="F511" s="37">
        <f>SUM(F513,F517)</f>
        <v>150000</v>
      </c>
      <c r="G511" s="37">
        <f>SUM(G513,G517)</f>
        <v>150000</v>
      </c>
      <c r="H511" s="37">
        <f t="shared" si="87"/>
        <v>30600783.310000002</v>
      </c>
      <c r="I511" s="46"/>
      <c r="J511" s="47"/>
      <c r="K511" s="47"/>
    </row>
    <row r="512" spans="1:11" s="16" customFormat="1" ht="12" customHeight="1" x14ac:dyDescent="0.2">
      <c r="A512" s="31"/>
      <c r="B512" s="35"/>
      <c r="C512" s="32"/>
      <c r="D512" s="54" t="s">
        <v>256</v>
      </c>
      <c r="E512" s="41"/>
      <c r="F512" s="41"/>
      <c r="G512" s="41"/>
      <c r="H512" s="41"/>
      <c r="I512" s="46"/>
      <c r="J512" s="47"/>
      <c r="K512" s="47"/>
    </row>
    <row r="513" spans="1:11" s="16" customFormat="1" ht="12" customHeight="1" x14ac:dyDescent="0.2">
      <c r="A513" s="31"/>
      <c r="B513" s="35"/>
      <c r="C513" s="25"/>
      <c r="D513" s="577" t="s">
        <v>257</v>
      </c>
      <c r="E513" s="557">
        <v>772788.61</v>
      </c>
      <c r="F513" s="555">
        <f>SUM(F514:F516)</f>
        <v>10000</v>
      </c>
      <c r="G513" s="555">
        <f>SUM(G514:G516)</f>
        <v>150000</v>
      </c>
      <c r="H513" s="554">
        <f t="shared" si="87"/>
        <v>632788.61</v>
      </c>
      <c r="I513" s="46"/>
      <c r="J513" s="47"/>
      <c r="K513" s="47"/>
    </row>
    <row r="514" spans="1:11" s="16" customFormat="1" ht="12" customHeight="1" x14ac:dyDescent="0.2">
      <c r="A514" s="31"/>
      <c r="B514" s="35"/>
      <c r="C514" s="25">
        <v>4260</v>
      </c>
      <c r="D514" s="39" t="s">
        <v>29</v>
      </c>
      <c r="E514" s="43">
        <v>60000</v>
      </c>
      <c r="F514" s="40">
        <v>10000</v>
      </c>
      <c r="G514" s="40"/>
      <c r="H514" s="40">
        <f t="shared" si="87"/>
        <v>70000</v>
      </c>
      <c r="I514" s="46"/>
      <c r="J514" s="47"/>
      <c r="K514" s="47"/>
    </row>
    <row r="515" spans="1:11" s="16" customFormat="1" ht="12" customHeight="1" x14ac:dyDescent="0.2">
      <c r="A515" s="31"/>
      <c r="B515" s="35"/>
      <c r="C515" s="57">
        <v>4300</v>
      </c>
      <c r="D515" s="54" t="s">
        <v>15</v>
      </c>
      <c r="E515" s="43">
        <v>349026.46</v>
      </c>
      <c r="F515" s="40"/>
      <c r="G515" s="40">
        <v>140000</v>
      </c>
      <c r="H515" s="40">
        <f t="shared" si="87"/>
        <v>209026.46000000002</v>
      </c>
      <c r="I515" s="46"/>
      <c r="J515" s="47"/>
      <c r="K515" s="47"/>
    </row>
    <row r="516" spans="1:11" s="16" customFormat="1" ht="12" customHeight="1" x14ac:dyDescent="0.2">
      <c r="A516" s="31"/>
      <c r="B516" s="35"/>
      <c r="C516" s="25">
        <v>4610</v>
      </c>
      <c r="D516" s="183" t="s">
        <v>258</v>
      </c>
      <c r="E516" s="43">
        <v>36000</v>
      </c>
      <c r="F516" s="40"/>
      <c r="G516" s="40">
        <v>10000</v>
      </c>
      <c r="H516" s="40">
        <f t="shared" si="87"/>
        <v>26000</v>
      </c>
      <c r="I516" s="46"/>
      <c r="J516" s="47"/>
      <c r="K516" s="47"/>
    </row>
    <row r="517" spans="1:11" s="16" customFormat="1" ht="12" customHeight="1" x14ac:dyDescent="0.2">
      <c r="A517" s="31"/>
      <c r="B517" s="35"/>
      <c r="C517" s="26"/>
      <c r="D517" s="556" t="s">
        <v>157</v>
      </c>
      <c r="E517" s="554">
        <v>9437417</v>
      </c>
      <c r="F517" s="555">
        <f>SUM(F518)</f>
        <v>140000</v>
      </c>
      <c r="G517" s="555">
        <f>SUM(G518)</f>
        <v>0</v>
      </c>
      <c r="H517" s="554">
        <f>SUM(E517+F517-G517)</f>
        <v>9577417</v>
      </c>
      <c r="I517" s="46"/>
      <c r="J517" s="47"/>
      <c r="K517" s="47"/>
    </row>
    <row r="518" spans="1:11" s="16" customFormat="1" ht="12" customHeight="1" x14ac:dyDescent="0.2">
      <c r="A518" s="63"/>
      <c r="B518" s="64"/>
      <c r="C518" s="162">
        <v>4300</v>
      </c>
      <c r="D518" s="125" t="s">
        <v>15</v>
      </c>
      <c r="E518" s="66">
        <v>135320</v>
      </c>
      <c r="F518" s="175">
        <v>140000</v>
      </c>
      <c r="G518" s="175"/>
      <c r="H518" s="66">
        <f t="shared" ref="H518" si="89">SUM(E518+F518-G518)</f>
        <v>275320</v>
      </c>
      <c r="I518" s="46"/>
      <c r="J518" s="47"/>
      <c r="K518" s="47"/>
    </row>
    <row r="519" spans="1:11" s="16" customFormat="1" ht="24.75" customHeight="1" thickBot="1" x14ac:dyDescent="0.25">
      <c r="A519" s="129"/>
      <c r="B519" s="35"/>
      <c r="C519" s="25"/>
      <c r="D519" s="29" t="s">
        <v>259</v>
      </c>
      <c r="E519" s="30">
        <v>47823842.170000002</v>
      </c>
      <c r="F519" s="30">
        <f>SUM(F521,F526,F537,F549,F555)</f>
        <v>969480.3</v>
      </c>
      <c r="G519" s="30">
        <f>SUM(G521,G526,G537,G549,G555)</f>
        <v>796536.3</v>
      </c>
      <c r="H519" s="30">
        <f t="shared" ref="H519" si="90">SUM(E519+F519-G519)</f>
        <v>47996786.170000002</v>
      </c>
      <c r="I519" s="46"/>
      <c r="J519" s="47"/>
      <c r="K519" s="47"/>
    </row>
    <row r="520" spans="1:11" s="16" customFormat="1" ht="18.75" customHeight="1" thickTop="1" x14ac:dyDescent="0.2">
      <c r="A520" s="144">
        <v>751</v>
      </c>
      <c r="B520" s="144"/>
      <c r="C520" s="145"/>
      <c r="D520" s="146" t="s">
        <v>132</v>
      </c>
      <c r="E520" s="41"/>
      <c r="F520" s="41"/>
      <c r="G520" s="42"/>
      <c r="H520" s="41"/>
      <c r="I520" s="46"/>
      <c r="J520" s="47"/>
      <c r="K520" s="47"/>
    </row>
    <row r="521" spans="1:11" s="16" customFormat="1" ht="12" customHeight="1" thickBot="1" x14ac:dyDescent="0.25">
      <c r="A521" s="144"/>
      <c r="B521" s="144"/>
      <c r="C521" s="145"/>
      <c r="D521" s="146" t="s">
        <v>133</v>
      </c>
      <c r="E521" s="30">
        <v>223903</v>
      </c>
      <c r="F521" s="34">
        <f>SUM(F522)</f>
        <v>3604</v>
      </c>
      <c r="G521" s="34">
        <f>SUM(G522)</f>
        <v>0</v>
      </c>
      <c r="H521" s="34">
        <f>SUM(E521+F521-G521)</f>
        <v>227507</v>
      </c>
      <c r="I521" s="46"/>
      <c r="J521" s="47"/>
      <c r="K521" s="47"/>
    </row>
    <row r="522" spans="1:11" s="16" customFormat="1" ht="12" customHeight="1" thickTop="1" x14ac:dyDescent="0.2">
      <c r="A522" s="144"/>
      <c r="B522" s="70">
        <v>75110</v>
      </c>
      <c r="C522" s="53"/>
      <c r="D522" s="138" t="s">
        <v>134</v>
      </c>
      <c r="E522" s="37">
        <v>0</v>
      </c>
      <c r="F522" s="38">
        <f t="shared" ref="F522:G522" si="91">SUM(F523)</f>
        <v>3604</v>
      </c>
      <c r="G522" s="38">
        <f t="shared" si="91"/>
        <v>0</v>
      </c>
      <c r="H522" s="37">
        <f t="shared" ref="H522:H524" si="92">SUM(E522+F522-G522)</f>
        <v>3604</v>
      </c>
      <c r="I522" s="46"/>
      <c r="J522" s="47"/>
      <c r="K522" s="47"/>
    </row>
    <row r="523" spans="1:11" s="16" customFormat="1" ht="12" customHeight="1" x14ac:dyDescent="0.2">
      <c r="A523" s="69"/>
      <c r="B523" s="35"/>
      <c r="C523" s="53"/>
      <c r="D523" s="563" t="s">
        <v>260</v>
      </c>
      <c r="E523" s="554">
        <v>0</v>
      </c>
      <c r="F523" s="555">
        <f>SUM(F524:F524)</f>
        <v>3604</v>
      </c>
      <c r="G523" s="555">
        <f>SUM(G524:G524)</f>
        <v>0</v>
      </c>
      <c r="H523" s="554">
        <f t="shared" si="92"/>
        <v>3604</v>
      </c>
      <c r="I523" s="46"/>
      <c r="J523" s="47"/>
      <c r="K523" s="47"/>
    </row>
    <row r="524" spans="1:11" s="16" customFormat="1" ht="12" customHeight="1" x14ac:dyDescent="0.2">
      <c r="A524" s="31"/>
      <c r="B524" s="25"/>
      <c r="C524" s="53" t="s">
        <v>26</v>
      </c>
      <c r="D524" s="54" t="s">
        <v>27</v>
      </c>
      <c r="E524" s="40">
        <v>0</v>
      </c>
      <c r="F524" s="43">
        <v>3604</v>
      </c>
      <c r="G524" s="43"/>
      <c r="H524" s="40">
        <f t="shared" si="92"/>
        <v>3604</v>
      </c>
      <c r="I524" s="46"/>
      <c r="J524" s="47"/>
      <c r="K524" s="47"/>
    </row>
    <row r="525" spans="1:11" s="16" customFormat="1" ht="12" customHeight="1" x14ac:dyDescent="0.2">
      <c r="A525" s="31">
        <v>754</v>
      </c>
      <c r="B525" s="31"/>
      <c r="C525" s="32"/>
      <c r="D525" s="33" t="s">
        <v>151</v>
      </c>
      <c r="E525" s="40"/>
      <c r="F525" s="41"/>
      <c r="G525" s="41"/>
      <c r="H525" s="40"/>
      <c r="I525" s="46"/>
      <c r="J525" s="47"/>
      <c r="K525" s="47"/>
    </row>
    <row r="526" spans="1:11" s="16" customFormat="1" ht="12" customHeight="1" thickBot="1" x14ac:dyDescent="0.25">
      <c r="A526" s="31"/>
      <c r="B526" s="31"/>
      <c r="C526" s="32"/>
      <c r="D526" s="33" t="s">
        <v>101</v>
      </c>
      <c r="E526" s="34">
        <v>1833516.0000000002</v>
      </c>
      <c r="F526" s="34">
        <f>SUM(F527)</f>
        <v>186569.3</v>
      </c>
      <c r="G526" s="34">
        <f>SUM(G527)</f>
        <v>32825.300000000003</v>
      </c>
      <c r="H526" s="34">
        <f>SUM(E526+F526-G526)</f>
        <v>1987260.0000000002</v>
      </c>
      <c r="I526" s="46"/>
      <c r="J526" s="47"/>
      <c r="K526" s="47"/>
    </row>
    <row r="527" spans="1:11" s="16" customFormat="1" ht="12" customHeight="1" thickTop="1" x14ac:dyDescent="0.2">
      <c r="A527" s="35"/>
      <c r="B527" s="35">
        <v>75495</v>
      </c>
      <c r="C527" s="26"/>
      <c r="D527" s="36" t="s">
        <v>14</v>
      </c>
      <c r="E527" s="37">
        <v>1833516.0000000002</v>
      </c>
      <c r="F527" s="38">
        <f>SUM(F528,F532,F534)</f>
        <v>186569.3</v>
      </c>
      <c r="G527" s="38">
        <f>SUM(G528,G532,G534)</f>
        <v>32825.300000000003</v>
      </c>
      <c r="H527" s="37">
        <f>SUM(E527+F527-G527)</f>
        <v>1987260.0000000002</v>
      </c>
      <c r="I527" s="46"/>
      <c r="J527" s="47"/>
      <c r="K527" s="47"/>
    </row>
    <row r="528" spans="1:11" s="16" customFormat="1" ht="23.25" customHeight="1" x14ac:dyDescent="0.2">
      <c r="A528" s="35"/>
      <c r="B528" s="35"/>
      <c r="C528" s="53"/>
      <c r="D528" s="559" t="s">
        <v>261</v>
      </c>
      <c r="E528" s="554">
        <v>269936</v>
      </c>
      <c r="F528" s="555">
        <f>SUM(F529:F531)</f>
        <v>29664</v>
      </c>
      <c r="G528" s="555">
        <f>SUM(G529:G531)</f>
        <v>0</v>
      </c>
      <c r="H528" s="554">
        <f t="shared" ref="H528:H531" si="93">SUM(E528+F528-G528)</f>
        <v>299600</v>
      </c>
      <c r="I528" s="61"/>
      <c r="J528" s="47"/>
      <c r="K528" s="47"/>
    </row>
    <row r="529" spans="1:11" s="16" customFormat="1" ht="23.25" customHeight="1" x14ac:dyDescent="0.2">
      <c r="A529" s="35"/>
      <c r="B529" s="35"/>
      <c r="C529" s="55">
        <v>3280</v>
      </c>
      <c r="D529" s="62" t="s">
        <v>262</v>
      </c>
      <c r="E529" s="43">
        <v>267760</v>
      </c>
      <c r="F529" s="40">
        <v>29360</v>
      </c>
      <c r="G529" s="40"/>
      <c r="H529" s="43">
        <f t="shared" si="93"/>
        <v>297120</v>
      </c>
      <c r="I529" s="46"/>
      <c r="J529" s="47"/>
      <c r="K529" s="47"/>
    </row>
    <row r="530" spans="1:11" s="16" customFormat="1" ht="22.5" customHeight="1" x14ac:dyDescent="0.2">
      <c r="A530" s="35"/>
      <c r="B530" s="35"/>
      <c r="C530" s="55">
        <v>4740</v>
      </c>
      <c r="D530" s="62" t="s">
        <v>251</v>
      </c>
      <c r="E530" s="43">
        <v>1813</v>
      </c>
      <c r="F530" s="40">
        <f>80+173</f>
        <v>253</v>
      </c>
      <c r="G530" s="40"/>
      <c r="H530" s="43">
        <f t="shared" si="93"/>
        <v>2066</v>
      </c>
      <c r="I530" s="46"/>
      <c r="J530" s="47"/>
      <c r="K530" s="47"/>
    </row>
    <row r="531" spans="1:11" s="16" customFormat="1" ht="22.5" customHeight="1" x14ac:dyDescent="0.2">
      <c r="A531" s="35"/>
      <c r="B531" s="35"/>
      <c r="C531" s="55">
        <v>4850</v>
      </c>
      <c r="D531" s="62" t="s">
        <v>190</v>
      </c>
      <c r="E531" s="43">
        <v>363</v>
      </c>
      <c r="F531" s="40">
        <f>16+35</f>
        <v>51</v>
      </c>
      <c r="G531" s="40"/>
      <c r="H531" s="43">
        <f t="shared" si="93"/>
        <v>414</v>
      </c>
      <c r="I531" s="46"/>
      <c r="J531" s="47"/>
      <c r="K531" s="47"/>
    </row>
    <row r="532" spans="1:11" s="16" customFormat="1" ht="35.25" customHeight="1" x14ac:dyDescent="0.2">
      <c r="A532" s="35"/>
      <c r="B532" s="35"/>
      <c r="C532" s="53"/>
      <c r="D532" s="573" t="s">
        <v>263</v>
      </c>
      <c r="E532" s="557">
        <v>1183903.97</v>
      </c>
      <c r="F532" s="557">
        <f>SUM(F533:F533)</f>
        <v>124080</v>
      </c>
      <c r="G532" s="557">
        <f>SUM(G533:G533)</f>
        <v>32825.300000000003</v>
      </c>
      <c r="H532" s="554">
        <f>SUM(E532+F532-G532)</f>
        <v>1275158.67</v>
      </c>
      <c r="I532" s="61"/>
      <c r="J532" s="47"/>
      <c r="K532" s="47"/>
    </row>
    <row r="533" spans="1:11" s="16" customFormat="1" ht="12" customHeight="1" x14ac:dyDescent="0.2">
      <c r="A533" s="35"/>
      <c r="B533" s="35"/>
      <c r="C533" s="35">
        <v>4370</v>
      </c>
      <c r="D533" s="39" t="s">
        <v>43</v>
      </c>
      <c r="E533" s="43">
        <v>1183903.97</v>
      </c>
      <c r="F533" s="40">
        <v>124080</v>
      </c>
      <c r="G533" s="40">
        <v>32825.300000000003</v>
      </c>
      <c r="H533" s="43">
        <f t="shared" ref="H533" si="94">SUM(E533+F533-G533)</f>
        <v>1275158.67</v>
      </c>
      <c r="I533" s="46"/>
      <c r="J533" s="47"/>
      <c r="K533" s="47"/>
    </row>
    <row r="534" spans="1:11" s="16" customFormat="1" ht="33" customHeight="1" x14ac:dyDescent="0.2">
      <c r="A534" s="35"/>
      <c r="B534" s="35"/>
      <c r="C534" s="26"/>
      <c r="D534" s="577" t="s">
        <v>264</v>
      </c>
      <c r="E534" s="557">
        <v>379676.03</v>
      </c>
      <c r="F534" s="555">
        <f>SUM(F535:F536)</f>
        <v>32825.300000000003</v>
      </c>
      <c r="G534" s="555">
        <f>SUM(G535:G536)</f>
        <v>0</v>
      </c>
      <c r="H534" s="554">
        <f>SUM(E534+F534-G534)</f>
        <v>412501.33</v>
      </c>
      <c r="I534" s="61"/>
      <c r="J534" s="47"/>
      <c r="K534" s="47"/>
    </row>
    <row r="535" spans="1:11" s="16" customFormat="1" ht="12" customHeight="1" x14ac:dyDescent="0.2">
      <c r="A535" s="35"/>
      <c r="B535" s="35"/>
      <c r="C535" s="25">
        <v>4370</v>
      </c>
      <c r="D535" s="39" t="s">
        <v>43</v>
      </c>
      <c r="E535" s="43">
        <v>22232.629999999997</v>
      </c>
      <c r="F535" s="43">
        <v>2185.5100000000002</v>
      </c>
      <c r="G535" s="43"/>
      <c r="H535" s="41">
        <f t="shared" ref="H535:H541" si="95">SUM(E535+F535-G535)</f>
        <v>24418.14</v>
      </c>
      <c r="I535" s="46"/>
      <c r="J535" s="47"/>
      <c r="K535" s="47"/>
    </row>
    <row r="536" spans="1:11" s="16" customFormat="1" ht="22.5" customHeight="1" x14ac:dyDescent="0.2">
      <c r="A536" s="35"/>
      <c r="B536" s="35"/>
      <c r="C536" s="55">
        <v>4860</v>
      </c>
      <c r="D536" s="62" t="s">
        <v>44</v>
      </c>
      <c r="E536" s="43">
        <v>357443.4</v>
      </c>
      <c r="F536" s="43">
        <v>30639.79</v>
      </c>
      <c r="G536" s="43"/>
      <c r="H536" s="41">
        <f t="shared" si="95"/>
        <v>388083.19</v>
      </c>
      <c r="I536" s="46"/>
      <c r="J536" s="47"/>
      <c r="K536" s="47"/>
    </row>
    <row r="537" spans="1:11" s="16" customFormat="1" ht="12" customHeight="1" thickBot="1" x14ac:dyDescent="0.25">
      <c r="A537" s="184">
        <v>852</v>
      </c>
      <c r="B537" s="184"/>
      <c r="C537" s="185"/>
      <c r="D537" s="186" t="s">
        <v>113</v>
      </c>
      <c r="E537" s="30">
        <v>4178134</v>
      </c>
      <c r="F537" s="30">
        <f>SUM(F538,F542,F546)</f>
        <v>13941</v>
      </c>
      <c r="G537" s="30">
        <f>SUM(G538,G542,G546)</f>
        <v>1711</v>
      </c>
      <c r="H537" s="30">
        <f t="shared" si="95"/>
        <v>4190364</v>
      </c>
      <c r="I537" s="46"/>
      <c r="J537" s="47"/>
      <c r="K537" s="47"/>
    </row>
    <row r="538" spans="1:11" s="16" customFormat="1" ht="12" customHeight="1" thickTop="1" x14ac:dyDescent="0.2">
      <c r="A538" s="184"/>
      <c r="B538" s="185">
        <v>85203</v>
      </c>
      <c r="C538" s="187"/>
      <c r="D538" s="72" t="s">
        <v>221</v>
      </c>
      <c r="E538" s="66">
        <v>1248603</v>
      </c>
      <c r="F538" s="38">
        <f>SUM(F539)</f>
        <v>1711</v>
      </c>
      <c r="G538" s="38">
        <f>SUM(G539)</f>
        <v>1711</v>
      </c>
      <c r="H538" s="37">
        <f t="shared" si="95"/>
        <v>1248603</v>
      </c>
      <c r="I538" s="46"/>
      <c r="J538" s="47"/>
      <c r="K538" s="47"/>
    </row>
    <row r="539" spans="1:11" s="16" customFormat="1" ht="12" customHeight="1" x14ac:dyDescent="0.2">
      <c r="A539" s="184"/>
      <c r="B539" s="188"/>
      <c r="C539" s="187"/>
      <c r="D539" s="578" t="s">
        <v>265</v>
      </c>
      <c r="E539" s="569">
        <v>1136903</v>
      </c>
      <c r="F539" s="566">
        <f>SUM(F540:F541)</f>
        <v>1711</v>
      </c>
      <c r="G539" s="566">
        <f>SUM(G540:G541)</f>
        <v>1711</v>
      </c>
      <c r="H539" s="557">
        <f t="shared" si="95"/>
        <v>1136903</v>
      </c>
      <c r="I539" s="46"/>
      <c r="J539" s="47"/>
      <c r="K539" s="47"/>
    </row>
    <row r="540" spans="1:11" s="16" customFormat="1" ht="12" customHeight="1" x14ac:dyDescent="0.2">
      <c r="A540" s="184"/>
      <c r="B540" s="188"/>
      <c r="C540" s="25">
        <v>4120</v>
      </c>
      <c r="D540" s="39" t="s">
        <v>237</v>
      </c>
      <c r="E540" s="43">
        <v>17550</v>
      </c>
      <c r="F540" s="43"/>
      <c r="G540" s="43">
        <v>1711</v>
      </c>
      <c r="H540" s="42">
        <f t="shared" si="95"/>
        <v>15839</v>
      </c>
      <c r="I540" s="46"/>
      <c r="J540" s="47"/>
      <c r="K540" s="47"/>
    </row>
    <row r="541" spans="1:11" s="16" customFormat="1" ht="12" customHeight="1" x14ac:dyDescent="0.2">
      <c r="A541" s="184"/>
      <c r="B541" s="188"/>
      <c r="C541" s="25">
        <v>4440</v>
      </c>
      <c r="D541" s="39" t="s">
        <v>35</v>
      </c>
      <c r="E541" s="43">
        <v>23309</v>
      </c>
      <c r="F541" s="43">
        <v>1711</v>
      </c>
      <c r="G541" s="43"/>
      <c r="H541" s="42">
        <f t="shared" si="95"/>
        <v>25020</v>
      </c>
      <c r="I541" s="46"/>
      <c r="J541" s="47"/>
      <c r="K541" s="47"/>
    </row>
    <row r="542" spans="1:11" s="16" customFormat="1" ht="12" customHeight="1" x14ac:dyDescent="0.2">
      <c r="A542" s="184"/>
      <c r="B542" s="185">
        <v>85219</v>
      </c>
      <c r="C542" s="187"/>
      <c r="D542" s="72" t="s">
        <v>140</v>
      </c>
      <c r="E542" s="66">
        <v>45431</v>
      </c>
      <c r="F542" s="38">
        <f>SUM(F543)</f>
        <v>7830</v>
      </c>
      <c r="G542" s="38">
        <f>SUM(G543)</f>
        <v>0</v>
      </c>
      <c r="H542" s="37">
        <f>SUM(E542+F542-G542)</f>
        <v>53261</v>
      </c>
      <c r="I542" s="46"/>
      <c r="J542" s="47"/>
      <c r="K542" s="47"/>
    </row>
    <row r="543" spans="1:11" s="16" customFormat="1" ht="12" customHeight="1" x14ac:dyDescent="0.2">
      <c r="A543" s="184"/>
      <c r="B543" s="188"/>
      <c r="C543" s="187"/>
      <c r="D543" s="578" t="s">
        <v>225</v>
      </c>
      <c r="E543" s="569">
        <v>45431</v>
      </c>
      <c r="F543" s="566">
        <f>SUM(F544:F545)</f>
        <v>7830</v>
      </c>
      <c r="G543" s="566">
        <f>SUM(G544:G545)</f>
        <v>0</v>
      </c>
      <c r="H543" s="557">
        <f>SUM(E543+F543-G543)</f>
        <v>53261</v>
      </c>
      <c r="I543" s="46"/>
      <c r="J543" s="47"/>
      <c r="K543" s="47"/>
    </row>
    <row r="544" spans="1:11" s="16" customFormat="1" ht="12" customHeight="1" x14ac:dyDescent="0.2">
      <c r="A544" s="184"/>
      <c r="B544" s="35"/>
      <c r="C544" s="25">
        <v>3110</v>
      </c>
      <c r="D544" s="39" t="s">
        <v>232</v>
      </c>
      <c r="E544" s="43">
        <v>44760</v>
      </c>
      <c r="F544" s="43">
        <v>7714</v>
      </c>
      <c r="G544" s="43"/>
      <c r="H544" s="42">
        <f>SUM(E544+F544-G544)</f>
        <v>52474</v>
      </c>
      <c r="I544" s="46"/>
      <c r="J544" s="47"/>
      <c r="K544" s="47"/>
    </row>
    <row r="545" spans="1:11" s="16" customFormat="1" ht="12" customHeight="1" x14ac:dyDescent="0.2">
      <c r="A545" s="184"/>
      <c r="B545" s="35"/>
      <c r="C545" s="53" t="s">
        <v>26</v>
      </c>
      <c r="D545" s="54" t="s">
        <v>27</v>
      </c>
      <c r="E545" s="43">
        <v>671</v>
      </c>
      <c r="F545" s="43">
        <v>116</v>
      </c>
      <c r="G545" s="43"/>
      <c r="H545" s="42">
        <f>SUM(E545+F545-G545)</f>
        <v>787</v>
      </c>
      <c r="I545" s="46"/>
      <c r="J545" s="47"/>
      <c r="K545" s="47"/>
    </row>
    <row r="546" spans="1:11" s="16" customFormat="1" ht="12" customHeight="1" x14ac:dyDescent="0.2">
      <c r="A546" s="184"/>
      <c r="B546" s="35">
        <v>85231</v>
      </c>
      <c r="C546" s="26"/>
      <c r="D546" s="148" t="s">
        <v>141</v>
      </c>
      <c r="E546" s="66">
        <v>3600</v>
      </c>
      <c r="F546" s="38">
        <f t="shared" ref="F546:G546" si="96">SUM(F547)</f>
        <v>4400</v>
      </c>
      <c r="G546" s="38">
        <f t="shared" si="96"/>
        <v>0</v>
      </c>
      <c r="H546" s="37">
        <f t="shared" ref="H546:H550" si="97">SUM(E546+F546-G546)</f>
        <v>8000</v>
      </c>
      <c r="I546" s="46"/>
      <c r="J546" s="47"/>
      <c r="K546" s="47"/>
    </row>
    <row r="547" spans="1:11" s="16" customFormat="1" ht="12" customHeight="1" x14ac:dyDescent="0.2">
      <c r="A547" s="184"/>
      <c r="B547" s="31"/>
      <c r="C547" s="26"/>
      <c r="D547" s="560" t="s">
        <v>225</v>
      </c>
      <c r="E547" s="569">
        <v>3600</v>
      </c>
      <c r="F547" s="566">
        <f>SUM(F548:F548)</f>
        <v>4400</v>
      </c>
      <c r="G547" s="566">
        <f>SUM(G548:G548)</f>
        <v>0</v>
      </c>
      <c r="H547" s="557">
        <f t="shared" si="97"/>
        <v>8000</v>
      </c>
      <c r="I547" s="46"/>
      <c r="J547" s="47"/>
      <c r="K547" s="47"/>
    </row>
    <row r="548" spans="1:11" s="16" customFormat="1" ht="12" customHeight="1" x14ac:dyDescent="0.2">
      <c r="A548" s="184"/>
      <c r="B548" s="31"/>
      <c r="C548" s="25">
        <v>3110</v>
      </c>
      <c r="D548" s="39" t="s">
        <v>232</v>
      </c>
      <c r="E548" s="40">
        <v>3600</v>
      </c>
      <c r="F548" s="40">
        <v>4400</v>
      </c>
      <c r="G548" s="177"/>
      <c r="H548" s="42">
        <f t="shared" si="97"/>
        <v>8000</v>
      </c>
      <c r="I548" s="46"/>
      <c r="J548" s="47"/>
      <c r="K548" s="47"/>
    </row>
    <row r="549" spans="1:11" s="16" customFormat="1" ht="12" customHeight="1" thickBot="1" x14ac:dyDescent="0.25">
      <c r="A549" s="119">
        <v>853</v>
      </c>
      <c r="B549" s="31"/>
      <c r="C549" s="32"/>
      <c r="D549" s="33" t="s">
        <v>142</v>
      </c>
      <c r="E549" s="30">
        <v>797661.7</v>
      </c>
      <c r="F549" s="34">
        <f>SUM(F550)</f>
        <v>3366</v>
      </c>
      <c r="G549" s="34">
        <f>SUM(G550)</f>
        <v>0</v>
      </c>
      <c r="H549" s="30">
        <f t="shared" si="97"/>
        <v>801027.7</v>
      </c>
      <c r="I549" s="46"/>
      <c r="J549" s="47"/>
      <c r="K549" s="47"/>
    </row>
    <row r="550" spans="1:11" s="16" customFormat="1" ht="12" customHeight="1" thickTop="1" x14ac:dyDescent="0.2">
      <c r="A550" s="32"/>
      <c r="B550" s="35">
        <v>85395</v>
      </c>
      <c r="C550" s="26"/>
      <c r="D550" s="36" t="s">
        <v>14</v>
      </c>
      <c r="E550" s="66">
        <v>797661.7</v>
      </c>
      <c r="F550" s="37">
        <f>SUM(F551)</f>
        <v>3366</v>
      </c>
      <c r="G550" s="37">
        <f>SUM(G551)</f>
        <v>0</v>
      </c>
      <c r="H550" s="37">
        <f t="shared" si="97"/>
        <v>801027.7</v>
      </c>
      <c r="I550" s="46"/>
      <c r="J550" s="47"/>
      <c r="K550" s="47"/>
    </row>
    <row r="551" spans="1:11" s="16" customFormat="1" ht="22.5" customHeight="1" x14ac:dyDescent="0.2">
      <c r="A551" s="32"/>
      <c r="B551" s="35"/>
      <c r="C551" s="53"/>
      <c r="D551" s="574" t="s">
        <v>266</v>
      </c>
      <c r="E551" s="554">
        <v>26928</v>
      </c>
      <c r="F551" s="555">
        <f>SUM(F552:F554)</f>
        <v>3366</v>
      </c>
      <c r="G551" s="555">
        <f>SUM(G552:G554)</f>
        <v>0</v>
      </c>
      <c r="H551" s="554">
        <f>SUM(E551+F551-G551)</f>
        <v>30294</v>
      </c>
      <c r="I551" s="61"/>
      <c r="J551" s="47"/>
      <c r="K551" s="47"/>
    </row>
    <row r="552" spans="1:11" s="16" customFormat="1" ht="22.5" customHeight="1" x14ac:dyDescent="0.2">
      <c r="A552" s="32"/>
      <c r="B552" s="35"/>
      <c r="C552" s="55">
        <v>3290</v>
      </c>
      <c r="D552" s="62" t="s">
        <v>224</v>
      </c>
      <c r="E552" s="41">
        <v>26400</v>
      </c>
      <c r="F552" s="42">
        <v>3300</v>
      </c>
      <c r="G552" s="42"/>
      <c r="H552" s="42">
        <f>SUM(E552+F552-G552)</f>
        <v>29700</v>
      </c>
      <c r="I552" s="46"/>
      <c r="J552" s="47"/>
      <c r="K552" s="47"/>
    </row>
    <row r="553" spans="1:11" s="16" customFormat="1" ht="22.5" customHeight="1" x14ac:dyDescent="0.2">
      <c r="A553" s="32"/>
      <c r="B553" s="35"/>
      <c r="C553" s="55">
        <v>4740</v>
      </c>
      <c r="D553" s="62" t="s">
        <v>251</v>
      </c>
      <c r="E553" s="40">
        <v>440</v>
      </c>
      <c r="F553" s="42">
        <v>55</v>
      </c>
      <c r="G553" s="42"/>
      <c r="H553" s="42">
        <f t="shared" ref="H553:H555" si="98">SUM(E553+F553-G553)</f>
        <v>495</v>
      </c>
      <c r="I553" s="46"/>
      <c r="J553" s="47"/>
      <c r="K553" s="47"/>
    </row>
    <row r="554" spans="1:11" s="16" customFormat="1" ht="22.5" customHeight="1" x14ac:dyDescent="0.2">
      <c r="A554" s="32"/>
      <c r="B554" s="35"/>
      <c r="C554" s="55">
        <v>4850</v>
      </c>
      <c r="D554" s="62" t="s">
        <v>190</v>
      </c>
      <c r="E554" s="40">
        <v>88</v>
      </c>
      <c r="F554" s="42">
        <v>11</v>
      </c>
      <c r="G554" s="42"/>
      <c r="H554" s="42">
        <f t="shared" si="98"/>
        <v>99</v>
      </c>
      <c r="I554" s="46"/>
      <c r="J554" s="47"/>
      <c r="K554" s="47"/>
    </row>
    <row r="555" spans="1:11" s="16" customFormat="1" ht="12" customHeight="1" thickBot="1" x14ac:dyDescent="0.25">
      <c r="A555" s="31">
        <v>855</v>
      </c>
      <c r="B555" s="31"/>
      <c r="C555" s="32"/>
      <c r="D555" s="33" t="s">
        <v>129</v>
      </c>
      <c r="E555" s="34">
        <v>38044513</v>
      </c>
      <c r="F555" s="30">
        <f>SUM(F558)</f>
        <v>762000</v>
      </c>
      <c r="G555" s="30">
        <f>SUM(G558)</f>
        <v>762000</v>
      </c>
      <c r="H555" s="30">
        <f t="shared" si="98"/>
        <v>38044513</v>
      </c>
      <c r="I555" s="46"/>
      <c r="J555" s="47"/>
      <c r="K555" s="47"/>
    </row>
    <row r="556" spans="1:11" s="16" customFormat="1" ht="12" customHeight="1" thickTop="1" x14ac:dyDescent="0.2">
      <c r="A556" s="31"/>
      <c r="B556" s="70">
        <v>85502</v>
      </c>
      <c r="C556" s="53"/>
      <c r="D556" s="173" t="s">
        <v>267</v>
      </c>
      <c r="E556" s="40"/>
      <c r="F556" s="40"/>
      <c r="G556" s="177"/>
      <c r="H556" s="42"/>
      <c r="I556" s="46"/>
      <c r="J556" s="47"/>
      <c r="K556" s="47"/>
    </row>
    <row r="557" spans="1:11" s="16" customFormat="1" ht="12" customHeight="1" x14ac:dyDescent="0.2">
      <c r="A557" s="31"/>
      <c r="B557" s="70"/>
      <c r="C557" s="53"/>
      <c r="D557" s="173" t="s">
        <v>268</v>
      </c>
      <c r="E557" s="40"/>
      <c r="F557" s="40"/>
      <c r="G557" s="177"/>
      <c r="H557" s="42"/>
      <c r="I557" s="46"/>
      <c r="J557" s="47"/>
      <c r="K557" s="47"/>
    </row>
    <row r="558" spans="1:11" s="16" customFormat="1" ht="12" customHeight="1" x14ac:dyDescent="0.2">
      <c r="A558" s="31"/>
      <c r="B558" s="70"/>
      <c r="C558" s="53"/>
      <c r="D558" s="138" t="s">
        <v>269</v>
      </c>
      <c r="E558" s="38">
        <v>37590419</v>
      </c>
      <c r="F558" s="38">
        <f>SUM(F559)</f>
        <v>762000</v>
      </c>
      <c r="G558" s="38">
        <f t="shared" ref="G558" si="99">SUM(G559)</f>
        <v>762000</v>
      </c>
      <c r="H558" s="37">
        <f t="shared" ref="H558:H561" si="100">SUM(E558+F558-G558)</f>
        <v>37590419</v>
      </c>
      <c r="I558" s="46"/>
      <c r="J558" s="47"/>
      <c r="K558" s="47"/>
    </row>
    <row r="559" spans="1:11" s="16" customFormat="1" ht="12" customHeight="1" x14ac:dyDescent="0.2">
      <c r="A559" s="31"/>
      <c r="B559" s="35"/>
      <c r="C559" s="26"/>
      <c r="D559" s="578" t="s">
        <v>225</v>
      </c>
      <c r="E559" s="566">
        <v>37490044</v>
      </c>
      <c r="F559" s="566">
        <f>SUM(F560:F561)</f>
        <v>762000</v>
      </c>
      <c r="G559" s="566">
        <f>SUM(G560:G561)</f>
        <v>762000</v>
      </c>
      <c r="H559" s="557">
        <f t="shared" si="100"/>
        <v>37490044</v>
      </c>
      <c r="I559" s="46"/>
      <c r="J559" s="47"/>
      <c r="K559" s="47"/>
    </row>
    <row r="560" spans="1:11" s="16" customFormat="1" ht="12" customHeight="1" x14ac:dyDescent="0.2">
      <c r="A560" s="31"/>
      <c r="B560" s="31"/>
      <c r="C560" s="185">
        <v>3110</v>
      </c>
      <c r="D560" s="179" t="s">
        <v>232</v>
      </c>
      <c r="E560" s="40">
        <v>33596326</v>
      </c>
      <c r="F560" s="43"/>
      <c r="G560" s="43">
        <v>762000</v>
      </c>
      <c r="H560" s="42">
        <f t="shared" si="100"/>
        <v>32834326</v>
      </c>
      <c r="I560" s="46"/>
      <c r="J560" s="47"/>
      <c r="K560" s="47"/>
    </row>
    <row r="561" spans="1:11" s="16" customFormat="1" ht="12" customHeight="1" x14ac:dyDescent="0.2">
      <c r="A561" s="63"/>
      <c r="B561" s="63"/>
      <c r="C561" s="162">
        <v>4110</v>
      </c>
      <c r="D561" s="125" t="s">
        <v>23</v>
      </c>
      <c r="E561" s="175">
        <v>3007693</v>
      </c>
      <c r="F561" s="66">
        <v>762000</v>
      </c>
      <c r="G561" s="66"/>
      <c r="H561" s="38">
        <f t="shared" si="100"/>
        <v>3769693</v>
      </c>
      <c r="I561" s="46"/>
      <c r="J561" s="47"/>
      <c r="K561" s="47"/>
    </row>
    <row r="562" spans="1:11" s="16" customFormat="1" ht="21.75" customHeight="1" thickBot="1" x14ac:dyDescent="0.25">
      <c r="A562" s="189"/>
      <c r="B562" s="35"/>
      <c r="C562" s="25"/>
      <c r="D562" s="29" t="s">
        <v>270</v>
      </c>
      <c r="E562" s="30">
        <v>21532916.029999997</v>
      </c>
      <c r="F562" s="30">
        <f>SUM(F563,F571,F581,F598,F603)</f>
        <v>323928</v>
      </c>
      <c r="G562" s="30">
        <f>SUM(G563,G571,G581,G598,G603)</f>
        <v>293249</v>
      </c>
      <c r="H562" s="30">
        <f>SUM(E562+F562-G562)</f>
        <v>21563595.029999997</v>
      </c>
      <c r="I562" s="46"/>
      <c r="J562" s="47"/>
      <c r="K562" s="47"/>
    </row>
    <row r="563" spans="1:11" s="16" customFormat="1" ht="19.5" customHeight="1" thickTop="1" thickBot="1" x14ac:dyDescent="0.25">
      <c r="A563" s="31">
        <v>700</v>
      </c>
      <c r="B563" s="31"/>
      <c r="C563" s="32"/>
      <c r="D563" s="33" t="s">
        <v>145</v>
      </c>
      <c r="E563" s="30">
        <v>460100</v>
      </c>
      <c r="F563" s="34">
        <f t="shared" ref="F563:G563" si="101">SUM(F564)</f>
        <v>5037</v>
      </c>
      <c r="G563" s="34">
        <f t="shared" si="101"/>
        <v>0</v>
      </c>
      <c r="H563" s="30">
        <f t="shared" ref="H563:H564" si="102">SUM(E563+F563-G563)</f>
        <v>465137</v>
      </c>
      <c r="I563" s="46"/>
      <c r="J563" s="47"/>
      <c r="K563" s="47"/>
    </row>
    <row r="564" spans="1:11" s="16" customFormat="1" ht="12" customHeight="1" thickTop="1" x14ac:dyDescent="0.2">
      <c r="A564" s="31"/>
      <c r="B564" s="35">
        <v>70005</v>
      </c>
      <c r="C564" s="26"/>
      <c r="D564" s="36" t="s">
        <v>146</v>
      </c>
      <c r="E564" s="37">
        <v>460100</v>
      </c>
      <c r="F564" s="38">
        <f>SUM(F565,F567)</f>
        <v>5037</v>
      </c>
      <c r="G564" s="38">
        <f>SUM(G565,G567)</f>
        <v>0</v>
      </c>
      <c r="H564" s="37">
        <f t="shared" si="102"/>
        <v>465137</v>
      </c>
      <c r="I564" s="46"/>
      <c r="J564" s="47"/>
      <c r="K564" s="47"/>
    </row>
    <row r="565" spans="1:11" s="16" customFormat="1" ht="12" customHeight="1" x14ac:dyDescent="0.2">
      <c r="A565" s="31"/>
      <c r="B565" s="35"/>
      <c r="C565" s="26"/>
      <c r="D565" s="579" t="s">
        <v>271</v>
      </c>
      <c r="E565" s="557">
        <v>284100</v>
      </c>
      <c r="F565" s="555">
        <f>SUM(F566:F566)</f>
        <v>2826</v>
      </c>
      <c r="G565" s="555">
        <f>SUM(G566:G566)</f>
        <v>0</v>
      </c>
      <c r="H565" s="554">
        <f>SUM(E565+F565-G565)</f>
        <v>286926</v>
      </c>
      <c r="I565" s="46"/>
      <c r="J565" s="47"/>
      <c r="K565" s="47"/>
    </row>
    <row r="566" spans="1:11" s="16" customFormat="1" ht="12" customHeight="1" x14ac:dyDescent="0.2">
      <c r="A566" s="129"/>
      <c r="B566" s="144"/>
      <c r="C566" s="55">
        <v>4480</v>
      </c>
      <c r="D566" s="167" t="s">
        <v>272</v>
      </c>
      <c r="E566" s="43">
        <v>235140</v>
      </c>
      <c r="F566" s="40">
        <v>2826</v>
      </c>
      <c r="G566" s="40"/>
      <c r="H566" s="42">
        <f t="shared" ref="H566:H580" si="103">SUM(E566+F566-G566)</f>
        <v>237966</v>
      </c>
      <c r="I566" s="46"/>
      <c r="J566" s="47"/>
      <c r="K566" s="47"/>
    </row>
    <row r="567" spans="1:11" s="16" customFormat="1" ht="12" customHeight="1" x14ac:dyDescent="0.2">
      <c r="A567" s="129"/>
      <c r="B567" s="144"/>
      <c r="C567" s="26"/>
      <c r="D567" s="560" t="s">
        <v>273</v>
      </c>
      <c r="E567" s="554">
        <v>176000</v>
      </c>
      <c r="F567" s="566">
        <f>SUM(F568:F570)</f>
        <v>2211</v>
      </c>
      <c r="G567" s="566">
        <f>SUM(G568:G570)</f>
        <v>0</v>
      </c>
      <c r="H567" s="557">
        <f t="shared" si="103"/>
        <v>178211</v>
      </c>
      <c r="I567" s="46"/>
      <c r="J567" s="47"/>
      <c r="K567" s="47"/>
    </row>
    <row r="568" spans="1:11" s="16" customFormat="1" ht="12" customHeight="1" x14ac:dyDescent="0.2">
      <c r="A568" s="129"/>
      <c r="B568" s="144"/>
      <c r="C568" s="25">
        <v>4010</v>
      </c>
      <c r="D568" s="39" t="s">
        <v>21</v>
      </c>
      <c r="E568" s="40">
        <v>136527</v>
      </c>
      <c r="F568" s="40">
        <v>1910</v>
      </c>
      <c r="G568" s="177"/>
      <c r="H568" s="42">
        <f t="shared" si="103"/>
        <v>138437</v>
      </c>
      <c r="I568" s="46"/>
      <c r="J568" s="47"/>
      <c r="K568" s="47"/>
    </row>
    <row r="569" spans="1:11" s="16" customFormat="1" ht="12" customHeight="1" x14ac:dyDescent="0.2">
      <c r="A569" s="129"/>
      <c r="B569" s="144"/>
      <c r="C569" s="25">
        <v>4110</v>
      </c>
      <c r="D569" s="39" t="s">
        <v>23</v>
      </c>
      <c r="E569" s="40">
        <v>25248</v>
      </c>
      <c r="F569" s="40">
        <v>263</v>
      </c>
      <c r="G569" s="177"/>
      <c r="H569" s="42">
        <f t="shared" si="103"/>
        <v>25511</v>
      </c>
      <c r="I569" s="46"/>
      <c r="J569" s="47"/>
      <c r="K569" s="47"/>
    </row>
    <row r="570" spans="1:11" s="16" customFormat="1" ht="12" customHeight="1" x14ac:dyDescent="0.2">
      <c r="A570" s="129"/>
      <c r="B570" s="144"/>
      <c r="C570" s="25">
        <v>4120</v>
      </c>
      <c r="D570" s="39" t="s">
        <v>24</v>
      </c>
      <c r="E570" s="40">
        <v>3598</v>
      </c>
      <c r="F570" s="40">
        <v>38</v>
      </c>
      <c r="G570" s="177"/>
      <c r="H570" s="42">
        <f t="shared" si="103"/>
        <v>3636</v>
      </c>
      <c r="I570" s="46"/>
      <c r="J570" s="47"/>
      <c r="K570" s="47"/>
    </row>
    <row r="571" spans="1:11" s="16" customFormat="1" ht="12" customHeight="1" thickBot="1" x14ac:dyDescent="0.25">
      <c r="A571" s="190">
        <v>710</v>
      </c>
      <c r="B571" s="191"/>
      <c r="C571" s="185"/>
      <c r="D571" s="192" t="s">
        <v>94</v>
      </c>
      <c r="E571" s="30">
        <v>1436100</v>
      </c>
      <c r="F571" s="30">
        <f>SUM(F572,F575)</f>
        <v>9100</v>
      </c>
      <c r="G571" s="30">
        <f>SUM(G572,G575)</f>
        <v>210000</v>
      </c>
      <c r="H571" s="30">
        <f t="shared" si="103"/>
        <v>1235200</v>
      </c>
      <c r="I571" s="46"/>
      <c r="J571" s="47"/>
      <c r="K571" s="47"/>
    </row>
    <row r="572" spans="1:11" s="16" customFormat="1" ht="12" customHeight="1" thickTop="1" x14ac:dyDescent="0.2">
      <c r="A572" s="190"/>
      <c r="B572" s="35">
        <v>71012</v>
      </c>
      <c r="C572" s="25"/>
      <c r="D572" s="36" t="s">
        <v>149</v>
      </c>
      <c r="E572" s="66">
        <v>499000</v>
      </c>
      <c r="F572" s="38">
        <f>SUM(F573)</f>
        <v>0</v>
      </c>
      <c r="G572" s="38">
        <f>SUM(G573)</f>
        <v>210000</v>
      </c>
      <c r="H572" s="37">
        <f t="shared" si="103"/>
        <v>289000</v>
      </c>
      <c r="I572" s="46"/>
      <c r="J572" s="47"/>
      <c r="K572" s="47"/>
    </row>
    <row r="573" spans="1:11" s="16" customFormat="1" ht="12" customHeight="1" x14ac:dyDescent="0.2">
      <c r="A573" s="190"/>
      <c r="B573" s="31"/>
      <c r="C573" s="26"/>
      <c r="D573" s="580" t="s">
        <v>274</v>
      </c>
      <c r="E573" s="569">
        <v>211000</v>
      </c>
      <c r="F573" s="566">
        <f>SUM(F574:F574)</f>
        <v>0</v>
      </c>
      <c r="G573" s="566">
        <f>SUM(G574:G574)</f>
        <v>210000</v>
      </c>
      <c r="H573" s="557">
        <f t="shared" si="103"/>
        <v>1000</v>
      </c>
      <c r="I573" s="46"/>
      <c r="J573" s="47"/>
      <c r="K573" s="47"/>
    </row>
    <row r="574" spans="1:11" s="16" customFormat="1" ht="12" customHeight="1" x14ac:dyDescent="0.2">
      <c r="A574" s="190"/>
      <c r="B574" s="35"/>
      <c r="C574" s="25">
        <v>4300</v>
      </c>
      <c r="D574" s="39" t="s">
        <v>15</v>
      </c>
      <c r="E574" s="43">
        <v>210000</v>
      </c>
      <c r="F574" s="43"/>
      <c r="G574" s="43">
        <v>210000</v>
      </c>
      <c r="H574" s="42">
        <f t="shared" si="103"/>
        <v>0</v>
      </c>
      <c r="I574" s="46"/>
      <c r="J574" s="47"/>
      <c r="K574" s="47"/>
    </row>
    <row r="575" spans="1:11" s="16" customFormat="1" ht="12" customHeight="1" x14ac:dyDescent="0.2">
      <c r="A575" s="31"/>
      <c r="B575" s="185">
        <v>71015</v>
      </c>
      <c r="C575" s="193"/>
      <c r="D575" s="72" t="s">
        <v>150</v>
      </c>
      <c r="E575" s="66">
        <v>937100</v>
      </c>
      <c r="F575" s="38">
        <f>SUM(F576)</f>
        <v>9100</v>
      </c>
      <c r="G575" s="38">
        <f>SUM(G576)</f>
        <v>0</v>
      </c>
      <c r="H575" s="37">
        <f t="shared" si="103"/>
        <v>946200</v>
      </c>
      <c r="I575" s="46"/>
      <c r="J575" s="47"/>
      <c r="K575" s="47"/>
    </row>
    <row r="576" spans="1:11" s="16" customFormat="1" ht="23.25" customHeight="1" x14ac:dyDescent="0.2">
      <c r="A576" s="31"/>
      <c r="B576" s="188"/>
      <c r="C576" s="185"/>
      <c r="D576" s="581" t="s">
        <v>275</v>
      </c>
      <c r="E576" s="569">
        <v>937100</v>
      </c>
      <c r="F576" s="566">
        <f>SUM(F577:F580)</f>
        <v>9100</v>
      </c>
      <c r="G576" s="566">
        <f>SUM(G577:G580)</f>
        <v>0</v>
      </c>
      <c r="H576" s="557">
        <f t="shared" si="103"/>
        <v>946200</v>
      </c>
      <c r="I576" s="46"/>
      <c r="J576" s="47"/>
      <c r="K576" s="47"/>
    </row>
    <row r="577" spans="1:11" s="16" customFormat="1" ht="12" customHeight="1" x14ac:dyDescent="0.2">
      <c r="A577" s="31"/>
      <c r="B577" s="188"/>
      <c r="C577" s="25">
        <v>4010</v>
      </c>
      <c r="D577" s="39" t="s">
        <v>21</v>
      </c>
      <c r="E577" s="43">
        <v>122200</v>
      </c>
      <c r="F577" s="42">
        <v>1125</v>
      </c>
      <c r="G577" s="42"/>
      <c r="H577" s="42">
        <f t="shared" si="103"/>
        <v>123325</v>
      </c>
      <c r="I577" s="46"/>
      <c r="J577" s="47"/>
      <c r="K577" s="47"/>
    </row>
    <row r="578" spans="1:11" s="16" customFormat="1" ht="12" customHeight="1" x14ac:dyDescent="0.2">
      <c r="A578" s="31"/>
      <c r="B578" s="25"/>
      <c r="C578" s="25">
        <v>4020</v>
      </c>
      <c r="D578" s="39" t="s">
        <v>276</v>
      </c>
      <c r="E578" s="40">
        <v>540068</v>
      </c>
      <c r="F578" s="40">
        <v>6475</v>
      </c>
      <c r="G578" s="40"/>
      <c r="H578" s="42">
        <f t="shared" si="103"/>
        <v>546543</v>
      </c>
      <c r="I578" s="46"/>
      <c r="J578" s="47"/>
      <c r="K578" s="47"/>
    </row>
    <row r="579" spans="1:11" s="16" customFormat="1" ht="12" customHeight="1" x14ac:dyDescent="0.2">
      <c r="A579" s="31"/>
      <c r="B579" s="25"/>
      <c r="C579" s="25">
        <v>4110</v>
      </c>
      <c r="D579" s="39" t="s">
        <v>23</v>
      </c>
      <c r="E579" s="40">
        <v>112832</v>
      </c>
      <c r="F579" s="40">
        <v>1367</v>
      </c>
      <c r="G579" s="40"/>
      <c r="H579" s="42">
        <f t="shared" si="103"/>
        <v>114199</v>
      </c>
      <c r="I579" s="46"/>
      <c r="J579" s="47"/>
      <c r="K579" s="47"/>
    </row>
    <row r="580" spans="1:11" s="16" customFormat="1" ht="12" customHeight="1" x14ac:dyDescent="0.2">
      <c r="A580" s="31"/>
      <c r="B580" s="25"/>
      <c r="C580" s="25">
        <v>4120</v>
      </c>
      <c r="D580" s="39" t="s">
        <v>24</v>
      </c>
      <c r="E580" s="40">
        <v>8720</v>
      </c>
      <c r="F580" s="40">
        <v>133</v>
      </c>
      <c r="G580" s="40"/>
      <c r="H580" s="42">
        <f t="shared" si="103"/>
        <v>8853</v>
      </c>
      <c r="I580" s="46"/>
      <c r="J580" s="47"/>
      <c r="K580" s="47"/>
    </row>
    <row r="581" spans="1:11" s="16" customFormat="1" ht="12" customHeight="1" thickBot="1" x14ac:dyDescent="0.25">
      <c r="A581" s="31">
        <v>754</v>
      </c>
      <c r="B581" s="31"/>
      <c r="C581" s="32"/>
      <c r="D581" s="33" t="s">
        <v>137</v>
      </c>
      <c r="E581" s="30">
        <v>18102885.579999998</v>
      </c>
      <c r="F581" s="34">
        <f t="shared" ref="F581:G582" si="104">SUM(F582)</f>
        <v>305020</v>
      </c>
      <c r="G581" s="34">
        <f t="shared" si="104"/>
        <v>78478</v>
      </c>
      <c r="H581" s="30">
        <f>SUM(E581+F581-G581)</f>
        <v>18329427.579999998</v>
      </c>
      <c r="I581" s="46"/>
      <c r="J581" s="47"/>
      <c r="K581" s="47"/>
    </row>
    <row r="582" spans="1:11" s="16" customFormat="1" ht="12.75" customHeight="1" thickTop="1" x14ac:dyDescent="0.2">
      <c r="A582" s="129"/>
      <c r="B582" s="25">
        <v>75411</v>
      </c>
      <c r="C582" s="120"/>
      <c r="D582" s="194" t="s">
        <v>152</v>
      </c>
      <c r="E582" s="37">
        <v>18102885.579999998</v>
      </c>
      <c r="F582" s="38">
        <f t="shared" si="104"/>
        <v>305020</v>
      </c>
      <c r="G582" s="38">
        <f t="shared" si="104"/>
        <v>78478</v>
      </c>
      <c r="H582" s="37">
        <f>SUM(E582+F582-G582)</f>
        <v>18329427.579999998</v>
      </c>
      <c r="I582" s="46"/>
      <c r="J582" s="47"/>
      <c r="K582" s="47"/>
    </row>
    <row r="583" spans="1:11" s="16" customFormat="1" ht="12.6" customHeight="1" x14ac:dyDescent="0.2">
      <c r="A583" s="17"/>
      <c r="B583" s="120"/>
      <c r="C583" s="25"/>
      <c r="D583" s="582" t="s">
        <v>176</v>
      </c>
      <c r="E583" s="557">
        <v>18102885.579999998</v>
      </c>
      <c r="F583" s="557">
        <f>SUM(F584:F597)</f>
        <v>305020</v>
      </c>
      <c r="G583" s="557">
        <f>SUM(G584:G597)</f>
        <v>78478</v>
      </c>
      <c r="H583" s="554">
        <f>SUM(E583+F583-G583)</f>
        <v>18329427.579999998</v>
      </c>
      <c r="I583" s="46"/>
      <c r="J583" s="47"/>
      <c r="K583" s="47"/>
    </row>
    <row r="584" spans="1:11" s="16" customFormat="1" ht="12" customHeight="1" x14ac:dyDescent="0.2">
      <c r="A584" s="119"/>
      <c r="B584" s="35"/>
      <c r="C584" s="25">
        <v>3020</v>
      </c>
      <c r="D584" s="39" t="s">
        <v>20</v>
      </c>
      <c r="E584" s="40">
        <v>1000</v>
      </c>
      <c r="F584" s="40"/>
      <c r="G584" s="40">
        <v>800</v>
      </c>
      <c r="H584" s="42">
        <f t="shared" ref="H584:H599" si="105">SUM(E584+F584-G584)</f>
        <v>200</v>
      </c>
      <c r="I584" s="46"/>
      <c r="J584" s="47"/>
      <c r="K584" s="47"/>
    </row>
    <row r="585" spans="1:11" s="16" customFormat="1" ht="23.25" customHeight="1" x14ac:dyDescent="0.2">
      <c r="A585" s="119"/>
      <c r="B585" s="35"/>
      <c r="C585" s="55">
        <v>3070</v>
      </c>
      <c r="D585" s="62" t="s">
        <v>277</v>
      </c>
      <c r="E585" s="40">
        <v>526022</v>
      </c>
      <c r="F585" s="40"/>
      <c r="G585" s="40">
        <f>8836+32000</f>
        <v>40836</v>
      </c>
      <c r="H585" s="42">
        <f t="shared" si="105"/>
        <v>485186</v>
      </c>
      <c r="I585" s="46"/>
      <c r="J585" s="47"/>
      <c r="K585" s="47"/>
    </row>
    <row r="586" spans="1:11" s="16" customFormat="1" ht="12" customHeight="1" x14ac:dyDescent="0.2">
      <c r="A586" s="119"/>
      <c r="B586" s="35"/>
      <c r="C586" s="25">
        <v>4010</v>
      </c>
      <c r="D586" s="39" t="s">
        <v>21</v>
      </c>
      <c r="E586" s="40">
        <v>112160</v>
      </c>
      <c r="F586" s="40">
        <v>1400</v>
      </c>
      <c r="G586" s="40"/>
      <c r="H586" s="42">
        <f t="shared" si="105"/>
        <v>113560</v>
      </c>
      <c r="I586" s="46"/>
      <c r="J586" s="47"/>
      <c r="K586" s="47"/>
    </row>
    <row r="587" spans="1:11" s="16" customFormat="1" ht="12" customHeight="1" x14ac:dyDescent="0.2">
      <c r="A587" s="119"/>
      <c r="B587" s="35"/>
      <c r="C587" s="25">
        <v>4020</v>
      </c>
      <c r="D587" s="39" t="s">
        <v>276</v>
      </c>
      <c r="E587" s="40">
        <v>113230</v>
      </c>
      <c r="F587" s="40">
        <v>1491</v>
      </c>
      <c r="G587" s="40"/>
      <c r="H587" s="42">
        <f t="shared" si="105"/>
        <v>114721</v>
      </c>
      <c r="I587" s="46"/>
      <c r="J587" s="47"/>
      <c r="K587" s="47"/>
    </row>
    <row r="588" spans="1:11" s="16" customFormat="1" ht="12" customHeight="1" x14ac:dyDescent="0.2">
      <c r="A588" s="119"/>
      <c r="B588" s="35"/>
      <c r="C588" s="25">
        <v>4050</v>
      </c>
      <c r="D588" s="195" t="s">
        <v>278</v>
      </c>
      <c r="E588" s="40">
        <v>11703017</v>
      </c>
      <c r="F588" s="40"/>
      <c r="G588" s="40">
        <v>19642</v>
      </c>
      <c r="H588" s="42">
        <f t="shared" si="105"/>
        <v>11683375</v>
      </c>
      <c r="I588" s="46"/>
      <c r="J588" s="47"/>
      <c r="K588" s="47"/>
    </row>
    <row r="589" spans="1:11" s="16" customFormat="1" ht="21.75" customHeight="1" x14ac:dyDescent="0.2">
      <c r="A589" s="119"/>
      <c r="B589" s="35"/>
      <c r="C589" s="55">
        <v>4060</v>
      </c>
      <c r="D589" s="196" t="s">
        <v>279</v>
      </c>
      <c r="E589" s="40">
        <v>410151</v>
      </c>
      <c r="F589" s="40">
        <f>159039+19642</f>
        <v>178681</v>
      </c>
      <c r="G589" s="40"/>
      <c r="H589" s="42">
        <f t="shared" si="105"/>
        <v>588832</v>
      </c>
      <c r="I589" s="46"/>
      <c r="J589" s="47"/>
      <c r="K589" s="47"/>
    </row>
    <row r="590" spans="1:11" s="16" customFormat="1" ht="12" customHeight="1" x14ac:dyDescent="0.2">
      <c r="A590" s="119"/>
      <c r="B590" s="35"/>
      <c r="C590" s="25">
        <v>4110</v>
      </c>
      <c r="D590" s="39" t="s">
        <v>23</v>
      </c>
      <c r="E590" s="40">
        <v>38679</v>
      </c>
      <c r="F590" s="40">
        <v>434</v>
      </c>
      <c r="G590" s="40"/>
      <c r="H590" s="42">
        <f t="shared" si="105"/>
        <v>39113</v>
      </c>
      <c r="I590" s="46"/>
      <c r="J590" s="47"/>
      <c r="K590" s="47"/>
    </row>
    <row r="591" spans="1:11" s="16" customFormat="1" ht="12" customHeight="1" x14ac:dyDescent="0.2">
      <c r="A591" s="119"/>
      <c r="B591" s="35"/>
      <c r="C591" s="25">
        <v>4170</v>
      </c>
      <c r="D591" s="39" t="s">
        <v>25</v>
      </c>
      <c r="E591" s="40">
        <v>12460</v>
      </c>
      <c r="F591" s="40">
        <v>100</v>
      </c>
      <c r="G591" s="40"/>
      <c r="H591" s="42">
        <f t="shared" si="105"/>
        <v>12560</v>
      </c>
      <c r="I591" s="46"/>
      <c r="J591" s="47"/>
      <c r="K591" s="47"/>
    </row>
    <row r="592" spans="1:11" s="16" customFormat="1" ht="22.5" customHeight="1" x14ac:dyDescent="0.2">
      <c r="A592" s="119"/>
      <c r="B592" s="35"/>
      <c r="C592" s="127">
        <v>4180</v>
      </c>
      <c r="D592" s="197" t="s">
        <v>280</v>
      </c>
      <c r="E592" s="40">
        <v>3416784.58</v>
      </c>
      <c r="F592" s="40">
        <f>64178+32000</f>
        <v>96178</v>
      </c>
      <c r="G592" s="40"/>
      <c r="H592" s="42">
        <f t="shared" si="105"/>
        <v>3512962.58</v>
      </c>
      <c r="I592" s="46"/>
      <c r="J592" s="47"/>
      <c r="K592" s="47"/>
    </row>
    <row r="593" spans="1:11" s="16" customFormat="1" ht="12" customHeight="1" x14ac:dyDescent="0.2">
      <c r="A593" s="119"/>
      <c r="B593" s="35"/>
      <c r="C593" s="53" t="s">
        <v>26</v>
      </c>
      <c r="D593" s="54" t="s">
        <v>27</v>
      </c>
      <c r="E593" s="40">
        <v>260860</v>
      </c>
      <c r="F593" s="40"/>
      <c r="G593" s="40">
        <v>14344</v>
      </c>
      <c r="H593" s="42">
        <f t="shared" si="105"/>
        <v>246516</v>
      </c>
      <c r="I593" s="46"/>
      <c r="J593" s="47"/>
      <c r="K593" s="47"/>
    </row>
    <row r="594" spans="1:11" s="16" customFormat="1" ht="12" customHeight="1" x14ac:dyDescent="0.2">
      <c r="A594" s="119"/>
      <c r="B594" s="35"/>
      <c r="C594" s="25">
        <v>4260</v>
      </c>
      <c r="D594" s="39" t="s">
        <v>29</v>
      </c>
      <c r="E594" s="40">
        <v>317000</v>
      </c>
      <c r="F594" s="40">
        <v>20000</v>
      </c>
      <c r="G594" s="40"/>
      <c r="H594" s="42">
        <f t="shared" si="105"/>
        <v>337000</v>
      </c>
      <c r="I594" s="46"/>
      <c r="J594" s="47"/>
      <c r="K594" s="47"/>
    </row>
    <row r="595" spans="1:11" s="16" customFormat="1" ht="12" customHeight="1" x14ac:dyDescent="0.2">
      <c r="A595" s="119"/>
      <c r="B595" s="35"/>
      <c r="C595" s="25">
        <v>4300</v>
      </c>
      <c r="D595" s="39" t="s">
        <v>15</v>
      </c>
      <c r="E595" s="40">
        <v>95000</v>
      </c>
      <c r="F595" s="40">
        <v>6736</v>
      </c>
      <c r="G595" s="40"/>
      <c r="H595" s="42">
        <f t="shared" si="105"/>
        <v>101736</v>
      </c>
      <c r="I595" s="46"/>
      <c r="J595" s="47"/>
      <c r="K595" s="47"/>
    </row>
    <row r="596" spans="1:11" s="16" customFormat="1" ht="12" customHeight="1" x14ac:dyDescent="0.2">
      <c r="A596" s="119"/>
      <c r="B596" s="35"/>
      <c r="C596" s="25">
        <v>4360</v>
      </c>
      <c r="D596" s="39" t="s">
        <v>32</v>
      </c>
      <c r="E596" s="67">
        <v>14000</v>
      </c>
      <c r="F596" s="40"/>
      <c r="G596" s="40">
        <v>1856</v>
      </c>
      <c r="H596" s="42">
        <f t="shared" si="105"/>
        <v>12144</v>
      </c>
      <c r="I596" s="46"/>
      <c r="J596" s="47"/>
      <c r="K596" s="47"/>
    </row>
    <row r="597" spans="1:11" s="16" customFormat="1" ht="12" customHeight="1" x14ac:dyDescent="0.2">
      <c r="A597" s="119"/>
      <c r="B597" s="35"/>
      <c r="C597" s="25">
        <v>4430</v>
      </c>
      <c r="D597" s="39" t="s">
        <v>34</v>
      </c>
      <c r="E597" s="67">
        <v>4500</v>
      </c>
      <c r="F597" s="40"/>
      <c r="G597" s="40">
        <v>1000</v>
      </c>
      <c r="H597" s="42">
        <f t="shared" si="105"/>
        <v>3500</v>
      </c>
      <c r="I597" s="46"/>
      <c r="J597" s="47"/>
      <c r="K597" s="47"/>
    </row>
    <row r="598" spans="1:11" s="16" customFormat="1" ht="12" customHeight="1" thickBot="1" x14ac:dyDescent="0.25">
      <c r="A598" s="119">
        <v>852</v>
      </c>
      <c r="B598" s="31"/>
      <c r="C598" s="32"/>
      <c r="D598" s="186" t="s">
        <v>113</v>
      </c>
      <c r="E598" s="30">
        <v>516936</v>
      </c>
      <c r="F598" s="30">
        <f t="shared" ref="F598:G599" si="106">SUM(F599)</f>
        <v>4176</v>
      </c>
      <c r="G598" s="30">
        <f t="shared" si="106"/>
        <v>4176</v>
      </c>
      <c r="H598" s="30">
        <f t="shared" si="105"/>
        <v>516936</v>
      </c>
      <c r="I598" s="46"/>
      <c r="J598" s="47"/>
      <c r="K598" s="47"/>
    </row>
    <row r="599" spans="1:11" s="16" customFormat="1" ht="12" customHeight="1" thickTop="1" x14ac:dyDescent="0.2">
      <c r="A599" s="119"/>
      <c r="B599" s="35">
        <v>85205</v>
      </c>
      <c r="C599" s="26"/>
      <c r="D599" s="72" t="s">
        <v>281</v>
      </c>
      <c r="E599" s="66">
        <v>516936</v>
      </c>
      <c r="F599" s="38">
        <f t="shared" si="106"/>
        <v>4176</v>
      </c>
      <c r="G599" s="38">
        <f t="shared" si="106"/>
        <v>4176</v>
      </c>
      <c r="H599" s="37">
        <f t="shared" si="105"/>
        <v>516936</v>
      </c>
      <c r="I599" s="46"/>
      <c r="J599" s="47"/>
      <c r="K599" s="47"/>
    </row>
    <row r="600" spans="1:11" s="16" customFormat="1" ht="22.5" customHeight="1" x14ac:dyDescent="0.2">
      <c r="A600" s="189"/>
      <c r="B600" s="35"/>
      <c r="C600" s="26"/>
      <c r="D600" s="578" t="s">
        <v>282</v>
      </c>
      <c r="E600" s="554">
        <v>484536</v>
      </c>
      <c r="F600" s="555">
        <f>SUM(F601:F602)</f>
        <v>4176</v>
      </c>
      <c r="G600" s="555">
        <f>SUM(G601:G602)</f>
        <v>4176</v>
      </c>
      <c r="H600" s="554">
        <f>SUM(E600+F600-G600)</f>
        <v>484536</v>
      </c>
      <c r="I600" s="46"/>
      <c r="J600" s="47"/>
      <c r="K600" s="47"/>
    </row>
    <row r="601" spans="1:11" s="16" customFormat="1" ht="12" customHeight="1" x14ac:dyDescent="0.2">
      <c r="A601" s="189"/>
      <c r="B601" s="35"/>
      <c r="C601" s="25">
        <v>4010</v>
      </c>
      <c r="D601" s="39" t="s">
        <v>21</v>
      </c>
      <c r="E601" s="43">
        <v>159224</v>
      </c>
      <c r="F601" s="40">
        <v>4176</v>
      </c>
      <c r="G601" s="40"/>
      <c r="H601" s="43">
        <f t="shared" ref="H601:H607" si="107">SUM(E601+F601-G601)</f>
        <v>163400</v>
      </c>
      <c r="I601" s="46"/>
      <c r="J601" s="47"/>
      <c r="K601" s="47"/>
    </row>
    <row r="602" spans="1:11" s="16" customFormat="1" ht="12" customHeight="1" x14ac:dyDescent="0.2">
      <c r="A602" s="189"/>
      <c r="B602" s="35"/>
      <c r="C602" s="25">
        <v>4040</v>
      </c>
      <c r="D602" s="39" t="s">
        <v>22</v>
      </c>
      <c r="E602" s="43">
        <v>11805</v>
      </c>
      <c r="F602" s="40"/>
      <c r="G602" s="40">
        <v>4176</v>
      </c>
      <c r="H602" s="43">
        <f t="shared" si="107"/>
        <v>7629</v>
      </c>
      <c r="I602" s="46"/>
      <c r="J602" s="47"/>
      <c r="K602" s="47"/>
    </row>
    <row r="603" spans="1:11" s="16" customFormat="1" ht="12" customHeight="1" thickBot="1" x14ac:dyDescent="0.25">
      <c r="A603" s="119">
        <v>853</v>
      </c>
      <c r="B603" s="31"/>
      <c r="C603" s="32"/>
      <c r="D603" s="33" t="s">
        <v>142</v>
      </c>
      <c r="E603" s="30">
        <v>538099</v>
      </c>
      <c r="F603" s="30">
        <f>SUM(F604)</f>
        <v>595</v>
      </c>
      <c r="G603" s="30">
        <f>SUM(G604)</f>
        <v>595</v>
      </c>
      <c r="H603" s="30">
        <f t="shared" si="107"/>
        <v>538099</v>
      </c>
      <c r="I603" s="46"/>
      <c r="J603" s="47"/>
      <c r="K603" s="47"/>
    </row>
    <row r="604" spans="1:11" s="16" customFormat="1" ht="12" customHeight="1" thickTop="1" x14ac:dyDescent="0.2">
      <c r="A604" s="119"/>
      <c r="B604" s="35">
        <v>85321</v>
      </c>
      <c r="C604" s="26"/>
      <c r="D604" s="36" t="s">
        <v>283</v>
      </c>
      <c r="E604" s="66">
        <v>508300</v>
      </c>
      <c r="F604" s="38">
        <f>SUM(F605,F608)</f>
        <v>595</v>
      </c>
      <c r="G604" s="38">
        <f>SUM(G605,G608)</f>
        <v>595</v>
      </c>
      <c r="H604" s="37">
        <f t="shared" si="107"/>
        <v>508300</v>
      </c>
      <c r="I604" s="46"/>
      <c r="J604" s="47"/>
      <c r="K604" s="47"/>
    </row>
    <row r="605" spans="1:11" s="16" customFormat="1" ht="12" customHeight="1" x14ac:dyDescent="0.2">
      <c r="A605" s="119"/>
      <c r="B605" s="35"/>
      <c r="C605" s="26"/>
      <c r="D605" s="556" t="s">
        <v>284</v>
      </c>
      <c r="E605" s="569">
        <v>241500</v>
      </c>
      <c r="F605" s="566">
        <f>SUM(F606:F607)</f>
        <v>500</v>
      </c>
      <c r="G605" s="566">
        <f>SUM(G606:G607)</f>
        <v>500</v>
      </c>
      <c r="H605" s="557">
        <f t="shared" si="107"/>
        <v>241500</v>
      </c>
      <c r="I605" s="46"/>
      <c r="J605" s="47"/>
      <c r="K605" s="47"/>
    </row>
    <row r="606" spans="1:11" s="16" customFormat="1" ht="12" customHeight="1" x14ac:dyDescent="0.2">
      <c r="A606" s="119"/>
      <c r="B606" s="31"/>
      <c r="C606" s="53" t="s">
        <v>26</v>
      </c>
      <c r="D606" s="54" t="s">
        <v>27</v>
      </c>
      <c r="E606" s="40">
        <v>20000</v>
      </c>
      <c r="F606" s="40"/>
      <c r="G606" s="40">
        <v>500</v>
      </c>
      <c r="H606" s="42">
        <f t="shared" si="107"/>
        <v>19500</v>
      </c>
      <c r="I606" s="46"/>
      <c r="J606" s="47"/>
      <c r="K606" s="47"/>
    </row>
    <row r="607" spans="1:11" s="16" customFormat="1" ht="22.5" customHeight="1" x14ac:dyDescent="0.2">
      <c r="A607" s="198"/>
      <c r="B607" s="199"/>
      <c r="C607" s="55">
        <v>4700</v>
      </c>
      <c r="D607" s="200" t="s">
        <v>36</v>
      </c>
      <c r="E607" s="40">
        <v>0</v>
      </c>
      <c r="F607" s="201">
        <v>500</v>
      </c>
      <c r="G607" s="201"/>
      <c r="H607" s="202">
        <f t="shared" si="107"/>
        <v>500</v>
      </c>
      <c r="I607" s="46"/>
      <c r="J607" s="47"/>
      <c r="K607" s="47"/>
    </row>
    <row r="608" spans="1:11" s="16" customFormat="1" ht="46.5" customHeight="1" x14ac:dyDescent="0.2">
      <c r="A608" s="119"/>
      <c r="B608" s="31"/>
      <c r="C608" s="26"/>
      <c r="D608" s="573" t="s">
        <v>285</v>
      </c>
      <c r="E608" s="554">
        <v>800</v>
      </c>
      <c r="F608" s="555">
        <f>SUM(F609:F611)</f>
        <v>95</v>
      </c>
      <c r="G608" s="555">
        <f>SUM(G609:G611)</f>
        <v>95</v>
      </c>
      <c r="H608" s="554">
        <f>SUM(E608+F608-G608)</f>
        <v>800</v>
      </c>
      <c r="I608" s="61"/>
      <c r="J608" s="47"/>
      <c r="K608" s="47"/>
    </row>
    <row r="609" spans="1:11" s="16" customFormat="1" ht="12" customHeight="1" x14ac:dyDescent="0.2">
      <c r="A609" s="161"/>
      <c r="B609" s="63"/>
      <c r="C609" s="64">
        <v>4370</v>
      </c>
      <c r="D609" s="36" t="s">
        <v>43</v>
      </c>
      <c r="E609" s="66">
        <v>385</v>
      </c>
      <c r="F609" s="175">
        <v>55</v>
      </c>
      <c r="G609" s="175"/>
      <c r="H609" s="66">
        <f t="shared" ref="H609:H611" si="108">SUM(E609+F609-G609)</f>
        <v>440</v>
      </c>
      <c r="I609" s="46"/>
      <c r="J609" s="47"/>
      <c r="K609" s="47"/>
    </row>
    <row r="610" spans="1:11" s="16" customFormat="1" ht="21.75" customHeight="1" x14ac:dyDescent="0.2">
      <c r="A610" s="119"/>
      <c r="B610" s="31"/>
      <c r="C610" s="55">
        <v>4740</v>
      </c>
      <c r="D610" s="62" t="s">
        <v>251</v>
      </c>
      <c r="E610" s="40">
        <v>280</v>
      </c>
      <c r="F610" s="40">
        <v>40</v>
      </c>
      <c r="G610" s="40"/>
      <c r="H610" s="42">
        <f t="shared" si="108"/>
        <v>320</v>
      </c>
      <c r="I610" s="46"/>
      <c r="J610" s="47"/>
      <c r="K610" s="47"/>
    </row>
    <row r="611" spans="1:11" s="16" customFormat="1" ht="22.5" customHeight="1" x14ac:dyDescent="0.2">
      <c r="A611" s="119"/>
      <c r="B611" s="31"/>
      <c r="C611" s="55">
        <v>4850</v>
      </c>
      <c r="D611" s="62" t="s">
        <v>190</v>
      </c>
      <c r="E611" s="40">
        <v>135</v>
      </c>
      <c r="F611" s="40"/>
      <c r="G611" s="40">
        <v>95</v>
      </c>
      <c r="H611" s="42">
        <f t="shared" si="108"/>
        <v>40</v>
      </c>
      <c r="I611" s="46"/>
      <c r="J611" s="47"/>
      <c r="K611" s="47"/>
    </row>
    <row r="612" spans="1:11" s="16" customFormat="1" ht="3.75" customHeight="1" x14ac:dyDescent="0.2">
      <c r="A612" s="73"/>
      <c r="B612" s="73"/>
      <c r="C612" s="44"/>
      <c r="D612" s="45"/>
      <c r="E612" s="37"/>
      <c r="F612" s="37"/>
      <c r="G612" s="37"/>
      <c r="H612" s="37"/>
      <c r="I612" s="46"/>
      <c r="J612" s="47"/>
      <c r="K612" s="47"/>
    </row>
    <row r="613" spans="1:11" s="16" customFormat="1" ht="12.95" customHeight="1" x14ac:dyDescent="0.2">
      <c r="I613" s="46"/>
      <c r="J613" s="47"/>
      <c r="K613" s="47"/>
    </row>
    <row r="614" spans="1:11" s="16" customFormat="1" ht="12.95" customHeight="1" x14ac:dyDescent="0.2">
      <c r="I614" s="46"/>
      <c r="J614" s="47"/>
      <c r="K614" s="47"/>
    </row>
    <row r="615" spans="1:11" s="16" customFormat="1" ht="12.95" customHeight="1" x14ac:dyDescent="0.2">
      <c r="I615" s="46"/>
      <c r="J615" s="47"/>
      <c r="K615" s="47"/>
    </row>
    <row r="616" spans="1:11" s="16" customFormat="1" ht="12.95" customHeight="1" x14ac:dyDescent="0.2">
      <c r="I616" s="46"/>
      <c r="J616" s="47"/>
      <c r="K616" s="47"/>
    </row>
    <row r="617" spans="1:11" s="16" customFormat="1" ht="12.95" customHeight="1" x14ac:dyDescent="0.2">
      <c r="I617" s="46"/>
      <c r="J617" s="47"/>
      <c r="K617" s="47"/>
    </row>
    <row r="618" spans="1:11" s="16" customFormat="1" ht="12.95" customHeight="1" x14ac:dyDescent="0.2">
      <c r="I618" s="46"/>
      <c r="J618" s="47"/>
      <c r="K618" s="47"/>
    </row>
    <row r="619" spans="1:11" s="16" customFormat="1" ht="12.95" customHeight="1" x14ac:dyDescent="0.2">
      <c r="I619" s="46"/>
      <c r="J619" s="47"/>
      <c r="K619" s="47"/>
    </row>
    <row r="620" spans="1:11" s="16" customFormat="1" ht="12.95" customHeight="1" x14ac:dyDescent="0.2">
      <c r="I620" s="46"/>
      <c r="J620" s="47"/>
      <c r="K620" s="47"/>
    </row>
    <row r="621" spans="1:11" s="16" customFormat="1" ht="12.95" customHeight="1" x14ac:dyDescent="0.2">
      <c r="I621" s="46"/>
      <c r="J621" s="47"/>
      <c r="K621" s="47"/>
    </row>
    <row r="622" spans="1:11" s="16" customFormat="1" ht="12.95" customHeight="1" x14ac:dyDescent="0.2">
      <c r="I622" s="46"/>
      <c r="J622" s="47"/>
      <c r="K622" s="47"/>
    </row>
    <row r="623" spans="1:11" s="16" customFormat="1" ht="12.95" customHeight="1" x14ac:dyDescent="0.2">
      <c r="I623" s="46"/>
      <c r="J623" s="47"/>
      <c r="K623" s="47"/>
    </row>
    <row r="624" spans="1:11" s="16" customFormat="1" ht="12.95" customHeight="1" x14ac:dyDescent="0.2">
      <c r="I624" s="46"/>
      <c r="J624" s="47"/>
      <c r="K624" s="47"/>
    </row>
    <row r="625" spans="9:11" s="16" customFormat="1" ht="12.95" customHeight="1" x14ac:dyDescent="0.2">
      <c r="I625" s="46"/>
      <c r="J625" s="47"/>
      <c r="K625" s="47"/>
    </row>
    <row r="626" spans="9:11" s="16" customFormat="1" ht="12.95" customHeight="1" x14ac:dyDescent="0.2">
      <c r="I626" s="46"/>
      <c r="J626" s="47"/>
      <c r="K626" s="47"/>
    </row>
    <row r="627" spans="9:11" s="16" customFormat="1" ht="12.95" customHeight="1" x14ac:dyDescent="0.2">
      <c r="I627" s="46"/>
      <c r="J627" s="47"/>
      <c r="K627" s="47"/>
    </row>
    <row r="628" spans="9:11" s="16" customFormat="1" ht="12.95" customHeight="1" x14ac:dyDescent="0.2">
      <c r="I628" s="46"/>
      <c r="J628" s="47"/>
      <c r="K628" s="47"/>
    </row>
    <row r="629" spans="9:11" s="16" customFormat="1" ht="12.95" customHeight="1" x14ac:dyDescent="0.2">
      <c r="I629" s="46"/>
      <c r="J629" s="47"/>
      <c r="K629" s="47"/>
    </row>
    <row r="630" spans="9:11" s="16" customFormat="1" ht="12.95" customHeight="1" x14ac:dyDescent="0.2">
      <c r="I630" s="46"/>
      <c r="J630" s="47"/>
      <c r="K630" s="47"/>
    </row>
    <row r="631" spans="9:11" s="16" customFormat="1" ht="12.95" customHeight="1" x14ac:dyDescent="0.2">
      <c r="I631" s="46"/>
      <c r="J631" s="47"/>
      <c r="K631" s="47"/>
    </row>
    <row r="632" spans="9:11" s="16" customFormat="1" ht="12.95" customHeight="1" x14ac:dyDescent="0.2">
      <c r="I632" s="46"/>
      <c r="J632" s="47"/>
      <c r="K632" s="47"/>
    </row>
    <row r="633" spans="9:11" s="16" customFormat="1" ht="12.95" customHeight="1" x14ac:dyDescent="0.2">
      <c r="I633" s="46"/>
      <c r="J633" s="47"/>
      <c r="K633" s="47"/>
    </row>
    <row r="634" spans="9:11" s="16" customFormat="1" ht="12.95" customHeight="1" x14ac:dyDescent="0.2">
      <c r="I634" s="46"/>
      <c r="J634" s="47"/>
      <c r="K634" s="47"/>
    </row>
    <row r="635" spans="9:11" s="16" customFormat="1" ht="12.95" customHeight="1" x14ac:dyDescent="0.2">
      <c r="I635" s="46"/>
      <c r="J635" s="47"/>
      <c r="K635" s="47"/>
    </row>
    <row r="636" spans="9:11" s="16" customFormat="1" ht="12.95" customHeight="1" x14ac:dyDescent="0.2">
      <c r="I636" s="46"/>
      <c r="J636" s="47"/>
      <c r="K636" s="47"/>
    </row>
    <row r="637" spans="9:11" s="16" customFormat="1" ht="12.95" customHeight="1" x14ac:dyDescent="0.2">
      <c r="I637" s="46"/>
      <c r="J637" s="47"/>
      <c r="K637" s="47"/>
    </row>
    <row r="638" spans="9:11" s="16" customFormat="1" ht="12.95" customHeight="1" x14ac:dyDescent="0.2">
      <c r="I638" s="46"/>
      <c r="J638" s="47"/>
      <c r="K638" s="47"/>
    </row>
    <row r="639" spans="9:11" s="16" customFormat="1" ht="12.95" customHeight="1" x14ac:dyDescent="0.2">
      <c r="I639" s="46"/>
      <c r="J639" s="47"/>
      <c r="K639" s="47"/>
    </row>
    <row r="640" spans="9:11" s="16" customFormat="1" ht="12.95" customHeight="1" x14ac:dyDescent="0.2">
      <c r="I640" s="46"/>
      <c r="J640" s="47"/>
      <c r="K640" s="47"/>
    </row>
    <row r="641" spans="9:11" s="16" customFormat="1" ht="12.95" customHeight="1" x14ac:dyDescent="0.2">
      <c r="I641" s="46"/>
      <c r="J641" s="47"/>
      <c r="K641" s="47"/>
    </row>
    <row r="642" spans="9:11" s="16" customFormat="1" ht="12.95" customHeight="1" x14ac:dyDescent="0.2">
      <c r="I642" s="46"/>
      <c r="J642" s="47"/>
      <c r="K642" s="47"/>
    </row>
    <row r="643" spans="9:11" s="16" customFormat="1" ht="12.95" customHeight="1" x14ac:dyDescent="0.2">
      <c r="I643" s="46"/>
      <c r="J643" s="47"/>
      <c r="K643" s="47"/>
    </row>
    <row r="644" spans="9:11" s="16" customFormat="1" ht="12.95" customHeight="1" x14ac:dyDescent="0.2">
      <c r="I644" s="46"/>
      <c r="J644" s="47"/>
      <c r="K644" s="47"/>
    </row>
    <row r="645" spans="9:11" s="16" customFormat="1" ht="12.95" customHeight="1" x14ac:dyDescent="0.2">
      <c r="I645" s="46"/>
      <c r="J645" s="47"/>
      <c r="K645" s="47"/>
    </row>
    <row r="646" spans="9:11" s="16" customFormat="1" ht="12.95" customHeight="1" x14ac:dyDescent="0.2">
      <c r="I646" s="46"/>
      <c r="J646" s="47"/>
      <c r="K646" s="47"/>
    </row>
    <row r="647" spans="9:11" s="16" customFormat="1" ht="12.95" customHeight="1" x14ac:dyDescent="0.2">
      <c r="I647" s="46"/>
      <c r="J647" s="47"/>
      <c r="K647" s="47"/>
    </row>
    <row r="648" spans="9:11" s="16" customFormat="1" ht="12.95" customHeight="1" x14ac:dyDescent="0.2">
      <c r="I648" s="46"/>
      <c r="J648" s="47"/>
      <c r="K648" s="47"/>
    </row>
    <row r="649" spans="9:11" s="16" customFormat="1" ht="12.95" customHeight="1" x14ac:dyDescent="0.2">
      <c r="I649" s="46"/>
      <c r="J649" s="47"/>
      <c r="K649" s="47"/>
    </row>
    <row r="650" spans="9:11" s="16" customFormat="1" ht="12.95" customHeight="1" x14ac:dyDescent="0.2">
      <c r="I650" s="46"/>
      <c r="J650" s="47"/>
      <c r="K650" s="47"/>
    </row>
    <row r="651" spans="9:11" s="16" customFormat="1" ht="12.95" customHeight="1" x14ac:dyDescent="0.2">
      <c r="I651" s="46"/>
      <c r="J651" s="47"/>
      <c r="K651" s="47"/>
    </row>
    <row r="652" spans="9:11" s="16" customFormat="1" ht="12.95" customHeight="1" x14ac:dyDescent="0.2">
      <c r="I652" s="46"/>
      <c r="J652" s="47"/>
      <c r="K652" s="47"/>
    </row>
    <row r="653" spans="9:11" s="16" customFormat="1" ht="12.95" customHeight="1" x14ac:dyDescent="0.2">
      <c r="I653" s="46"/>
      <c r="J653" s="47"/>
      <c r="K653" s="47"/>
    </row>
    <row r="654" spans="9:11" s="16" customFormat="1" ht="12.95" customHeight="1" x14ac:dyDescent="0.2">
      <c r="I654" s="46"/>
      <c r="J654" s="47"/>
      <c r="K654" s="47"/>
    </row>
    <row r="655" spans="9:11" s="16" customFormat="1" ht="12.95" customHeight="1" x14ac:dyDescent="0.2">
      <c r="I655" s="46"/>
      <c r="J655" s="47"/>
      <c r="K655" s="47"/>
    </row>
    <row r="656" spans="9:11" s="16" customFormat="1" ht="12.95" customHeight="1" x14ac:dyDescent="0.2">
      <c r="I656" s="46"/>
      <c r="J656" s="47"/>
      <c r="K656" s="47"/>
    </row>
    <row r="657" spans="9:11" s="16" customFormat="1" ht="12.95" customHeight="1" x14ac:dyDescent="0.2">
      <c r="I657" s="46"/>
      <c r="J657" s="47"/>
      <c r="K657" s="47"/>
    </row>
    <row r="658" spans="9:11" s="16" customFormat="1" ht="12.95" customHeight="1" x14ac:dyDescent="0.2">
      <c r="I658" s="46"/>
      <c r="J658" s="47"/>
      <c r="K658" s="47"/>
    </row>
    <row r="659" spans="9:11" s="16" customFormat="1" ht="12.95" customHeight="1" x14ac:dyDescent="0.2">
      <c r="I659" s="46"/>
      <c r="J659" s="47"/>
      <c r="K659" s="47"/>
    </row>
    <row r="660" spans="9:11" s="16" customFormat="1" ht="12.95" customHeight="1" x14ac:dyDescent="0.2">
      <c r="I660" s="46"/>
      <c r="J660" s="47"/>
      <c r="K660" s="47"/>
    </row>
    <row r="661" spans="9:11" s="16" customFormat="1" ht="12.95" customHeight="1" x14ac:dyDescent="0.2">
      <c r="I661" s="46"/>
      <c r="J661" s="47"/>
      <c r="K661" s="47"/>
    </row>
    <row r="662" spans="9:11" s="16" customFormat="1" ht="12.95" customHeight="1" x14ac:dyDescent="0.2">
      <c r="I662" s="46"/>
      <c r="J662" s="47"/>
      <c r="K662" s="47"/>
    </row>
    <row r="663" spans="9:11" s="16" customFormat="1" ht="12.95" customHeight="1" x14ac:dyDescent="0.2">
      <c r="I663" s="46"/>
      <c r="J663" s="47"/>
      <c r="K663" s="47"/>
    </row>
    <row r="664" spans="9:11" s="16" customFormat="1" ht="12.95" customHeight="1" x14ac:dyDescent="0.2">
      <c r="I664" s="46"/>
      <c r="J664" s="47"/>
      <c r="K664" s="47"/>
    </row>
    <row r="665" spans="9:11" s="16" customFormat="1" ht="12.95" customHeight="1" x14ac:dyDescent="0.2">
      <c r="I665" s="46"/>
      <c r="J665" s="47"/>
      <c r="K665" s="47"/>
    </row>
    <row r="666" spans="9:11" s="16" customFormat="1" ht="12.95" customHeight="1" x14ac:dyDescent="0.2">
      <c r="I666" s="46"/>
      <c r="J666" s="47"/>
      <c r="K666" s="47"/>
    </row>
    <row r="667" spans="9:11" s="16" customFormat="1" ht="12.95" customHeight="1" x14ac:dyDescent="0.2">
      <c r="I667" s="46"/>
      <c r="J667" s="47"/>
      <c r="K667" s="47"/>
    </row>
    <row r="668" spans="9:11" s="16" customFormat="1" ht="12.95" customHeight="1" x14ac:dyDescent="0.2">
      <c r="I668" s="46"/>
      <c r="J668" s="47"/>
      <c r="K668" s="47"/>
    </row>
    <row r="669" spans="9:11" s="16" customFormat="1" ht="12.95" customHeight="1" x14ac:dyDescent="0.2">
      <c r="I669" s="46"/>
      <c r="J669" s="47"/>
      <c r="K669" s="47"/>
    </row>
    <row r="670" spans="9:11" s="16" customFormat="1" ht="12.95" customHeight="1" x14ac:dyDescent="0.2">
      <c r="I670" s="46"/>
      <c r="J670" s="47"/>
      <c r="K670" s="47"/>
    </row>
    <row r="671" spans="9:11" s="16" customFormat="1" ht="12.95" customHeight="1" x14ac:dyDescent="0.2">
      <c r="I671" s="46"/>
      <c r="J671" s="47"/>
      <c r="K671" s="47"/>
    </row>
    <row r="672" spans="9:11" s="16" customFormat="1" ht="12.95" customHeight="1" x14ac:dyDescent="0.2">
      <c r="I672" s="46"/>
      <c r="J672" s="47"/>
      <c r="K672" s="47"/>
    </row>
    <row r="673" spans="9:11" s="16" customFormat="1" ht="12.95" customHeight="1" x14ac:dyDescent="0.2">
      <c r="I673" s="46"/>
      <c r="J673" s="47"/>
      <c r="K673" s="47"/>
    </row>
    <row r="674" spans="9:11" s="16" customFormat="1" ht="12.95" customHeight="1" x14ac:dyDescent="0.2">
      <c r="I674" s="46"/>
      <c r="J674" s="47"/>
      <c r="K674" s="47"/>
    </row>
    <row r="675" spans="9:11" s="16" customFormat="1" ht="12.95" customHeight="1" x14ac:dyDescent="0.2">
      <c r="I675" s="46"/>
      <c r="J675" s="47"/>
      <c r="K675" s="47"/>
    </row>
    <row r="676" spans="9:11" s="16" customFormat="1" ht="12.95" customHeight="1" x14ac:dyDescent="0.2">
      <c r="I676" s="46"/>
      <c r="J676" s="47"/>
      <c r="K676" s="47"/>
    </row>
    <row r="677" spans="9:11" s="16" customFormat="1" ht="12.95" customHeight="1" x14ac:dyDescent="0.2">
      <c r="I677" s="46"/>
      <c r="J677" s="47"/>
      <c r="K677" s="47"/>
    </row>
    <row r="678" spans="9:11" s="16" customFormat="1" ht="12.95" customHeight="1" x14ac:dyDescent="0.2">
      <c r="I678" s="46"/>
      <c r="J678" s="47"/>
      <c r="K678" s="47"/>
    </row>
    <row r="679" spans="9:11" s="16" customFormat="1" ht="12.95" customHeight="1" x14ac:dyDescent="0.2">
      <c r="I679" s="46"/>
      <c r="J679" s="47"/>
      <c r="K679" s="47"/>
    </row>
    <row r="680" spans="9:11" ht="12.95" customHeight="1" x14ac:dyDescent="0.25"/>
    <row r="681" spans="9:11" ht="12.95" customHeight="1" x14ac:dyDescent="0.25"/>
    <row r="682" spans="9:11" ht="12.95" customHeight="1" x14ac:dyDescent="0.25"/>
    <row r="683" spans="9:11" ht="12.95" customHeight="1" x14ac:dyDescent="0.25"/>
    <row r="684" spans="9:11" ht="12.95" customHeight="1" x14ac:dyDescent="0.25"/>
    <row r="685" spans="9:11" ht="12.95" customHeight="1" x14ac:dyDescent="0.25"/>
    <row r="686" spans="9:11" ht="12.95" customHeight="1" x14ac:dyDescent="0.25"/>
    <row r="687" spans="9:11" ht="12.95" customHeight="1" x14ac:dyDescent="0.25"/>
    <row r="688" spans="9:11" ht="12.95" customHeight="1" x14ac:dyDescent="0.25"/>
    <row r="689" ht="12.95" customHeight="1" x14ac:dyDescent="0.25"/>
    <row r="690" ht="12.95" customHeight="1" x14ac:dyDescent="0.25"/>
    <row r="691" ht="12.9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7" manualBreakCount="7">
    <brk id="126" max="7" man="1"/>
    <brk id="266" max="7" man="1"/>
    <brk id="366" max="7" man="1"/>
    <brk id="467" max="7" man="1"/>
    <brk id="518" max="7" man="1"/>
    <brk id="561" max="7" man="1"/>
    <brk id="60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58D86-B5FC-4B75-8D2C-ECE3414C248F}">
  <sheetPr>
    <tabColor theme="4" tint="0.79998168889431442"/>
  </sheetPr>
  <dimension ref="A1:O46"/>
  <sheetViews>
    <sheetView zoomScaleNormal="100" workbookViewId="0">
      <pane ySplit="16" topLeftCell="A17" activePane="bottomLeft" state="frozen"/>
      <selection pane="bottomLeft" activeCell="E29" sqref="E29"/>
    </sheetView>
  </sheetViews>
  <sheetFormatPr defaultRowHeight="12.75" x14ac:dyDescent="0.25"/>
  <cols>
    <col min="1" max="1" width="4.140625" style="288" customWidth="1"/>
    <col min="2" max="2" width="7.28515625" style="288" customWidth="1"/>
    <col min="3" max="3" width="5.5703125" style="222" hidden="1" customWidth="1"/>
    <col min="4" max="4" width="61.7109375" style="209" customWidth="1"/>
    <col min="5" max="5" width="14" style="209" customWidth="1"/>
    <col min="6" max="6" width="13.28515625" style="209" customWidth="1"/>
    <col min="7" max="7" width="14.140625" style="291" customWidth="1"/>
    <col min="8" max="8" width="13.140625" style="291" customWidth="1"/>
    <col min="9" max="9" width="13" style="291" customWidth="1"/>
    <col min="10" max="10" width="12.5703125" style="291" customWidth="1"/>
    <col min="11" max="11" width="14.5703125" style="291" customWidth="1"/>
    <col min="12" max="12" width="9.85546875" style="291" customWidth="1"/>
    <col min="13" max="13" width="13.7109375" style="290" customWidth="1"/>
    <col min="14" max="14" width="13.42578125" style="209" customWidth="1"/>
    <col min="15" max="15" width="15.140625" style="209" customWidth="1"/>
    <col min="16" max="256" width="9.140625" style="209"/>
    <col min="257" max="257" width="4.140625" style="209" customWidth="1"/>
    <col min="258" max="258" width="7.28515625" style="209" customWidth="1"/>
    <col min="259" max="259" width="0" style="209" hidden="1" customWidth="1"/>
    <col min="260" max="260" width="61.7109375" style="209" customWidth="1"/>
    <col min="261" max="261" width="14" style="209" customWidth="1"/>
    <col min="262" max="262" width="13.28515625" style="209" customWidth="1"/>
    <col min="263" max="263" width="14.140625" style="209" customWidth="1"/>
    <col min="264" max="264" width="13.140625" style="209" customWidth="1"/>
    <col min="265" max="265" width="13" style="209" customWidth="1"/>
    <col min="266" max="266" width="12.5703125" style="209" customWidth="1"/>
    <col min="267" max="267" width="14.5703125" style="209" customWidth="1"/>
    <col min="268" max="268" width="9.85546875" style="209" customWidth="1"/>
    <col min="269" max="269" width="13.7109375" style="209" customWidth="1"/>
    <col min="270" max="270" width="13.42578125" style="209" customWidth="1"/>
    <col min="271" max="271" width="15.140625" style="209" customWidth="1"/>
    <col min="272" max="512" width="9.140625" style="209"/>
    <col min="513" max="513" width="4.140625" style="209" customWidth="1"/>
    <col min="514" max="514" width="7.28515625" style="209" customWidth="1"/>
    <col min="515" max="515" width="0" style="209" hidden="1" customWidth="1"/>
    <col min="516" max="516" width="61.7109375" style="209" customWidth="1"/>
    <col min="517" max="517" width="14" style="209" customWidth="1"/>
    <col min="518" max="518" width="13.28515625" style="209" customWidth="1"/>
    <col min="519" max="519" width="14.140625" style="209" customWidth="1"/>
    <col min="520" max="520" width="13.140625" style="209" customWidth="1"/>
    <col min="521" max="521" width="13" style="209" customWidth="1"/>
    <col min="522" max="522" width="12.5703125" style="209" customWidth="1"/>
    <col min="523" max="523" width="14.5703125" style="209" customWidth="1"/>
    <col min="524" max="524" width="9.85546875" style="209" customWidth="1"/>
    <col min="525" max="525" width="13.7109375" style="209" customWidth="1"/>
    <col min="526" max="526" width="13.42578125" style="209" customWidth="1"/>
    <col min="527" max="527" width="15.140625" style="209" customWidth="1"/>
    <col min="528" max="768" width="9.140625" style="209"/>
    <col min="769" max="769" width="4.140625" style="209" customWidth="1"/>
    <col min="770" max="770" width="7.28515625" style="209" customWidth="1"/>
    <col min="771" max="771" width="0" style="209" hidden="1" customWidth="1"/>
    <col min="772" max="772" width="61.7109375" style="209" customWidth="1"/>
    <col min="773" max="773" width="14" style="209" customWidth="1"/>
    <col min="774" max="774" width="13.28515625" style="209" customWidth="1"/>
    <col min="775" max="775" width="14.140625" style="209" customWidth="1"/>
    <col min="776" max="776" width="13.140625" style="209" customWidth="1"/>
    <col min="777" max="777" width="13" style="209" customWidth="1"/>
    <col min="778" max="778" width="12.5703125" style="209" customWidth="1"/>
    <col min="779" max="779" width="14.5703125" style="209" customWidth="1"/>
    <col min="780" max="780" width="9.85546875" style="209" customWidth="1"/>
    <col min="781" max="781" width="13.7109375" style="209" customWidth="1"/>
    <col min="782" max="782" width="13.42578125" style="209" customWidth="1"/>
    <col min="783" max="783" width="15.140625" style="209" customWidth="1"/>
    <col min="784" max="1024" width="9.140625" style="209"/>
    <col min="1025" max="1025" width="4.140625" style="209" customWidth="1"/>
    <col min="1026" max="1026" width="7.28515625" style="209" customWidth="1"/>
    <col min="1027" max="1027" width="0" style="209" hidden="1" customWidth="1"/>
    <col min="1028" max="1028" width="61.7109375" style="209" customWidth="1"/>
    <col min="1029" max="1029" width="14" style="209" customWidth="1"/>
    <col min="1030" max="1030" width="13.28515625" style="209" customWidth="1"/>
    <col min="1031" max="1031" width="14.140625" style="209" customWidth="1"/>
    <col min="1032" max="1032" width="13.140625" style="209" customWidth="1"/>
    <col min="1033" max="1033" width="13" style="209" customWidth="1"/>
    <col min="1034" max="1034" width="12.5703125" style="209" customWidth="1"/>
    <col min="1035" max="1035" width="14.5703125" style="209" customWidth="1"/>
    <col min="1036" max="1036" width="9.85546875" style="209" customWidth="1"/>
    <col min="1037" max="1037" width="13.7109375" style="209" customWidth="1"/>
    <col min="1038" max="1038" width="13.42578125" style="209" customWidth="1"/>
    <col min="1039" max="1039" width="15.140625" style="209" customWidth="1"/>
    <col min="1040" max="1280" width="9.140625" style="209"/>
    <col min="1281" max="1281" width="4.140625" style="209" customWidth="1"/>
    <col min="1282" max="1282" width="7.28515625" style="209" customWidth="1"/>
    <col min="1283" max="1283" width="0" style="209" hidden="1" customWidth="1"/>
    <col min="1284" max="1284" width="61.7109375" style="209" customWidth="1"/>
    <col min="1285" max="1285" width="14" style="209" customWidth="1"/>
    <col min="1286" max="1286" width="13.28515625" style="209" customWidth="1"/>
    <col min="1287" max="1287" width="14.140625" style="209" customWidth="1"/>
    <col min="1288" max="1288" width="13.140625" style="209" customWidth="1"/>
    <col min="1289" max="1289" width="13" style="209" customWidth="1"/>
    <col min="1290" max="1290" width="12.5703125" style="209" customWidth="1"/>
    <col min="1291" max="1291" width="14.5703125" style="209" customWidth="1"/>
    <col min="1292" max="1292" width="9.85546875" style="209" customWidth="1"/>
    <col min="1293" max="1293" width="13.7109375" style="209" customWidth="1"/>
    <col min="1294" max="1294" width="13.42578125" style="209" customWidth="1"/>
    <col min="1295" max="1295" width="15.140625" style="209" customWidth="1"/>
    <col min="1296" max="1536" width="9.140625" style="209"/>
    <col min="1537" max="1537" width="4.140625" style="209" customWidth="1"/>
    <col min="1538" max="1538" width="7.28515625" style="209" customWidth="1"/>
    <col min="1539" max="1539" width="0" style="209" hidden="1" customWidth="1"/>
    <col min="1540" max="1540" width="61.7109375" style="209" customWidth="1"/>
    <col min="1541" max="1541" width="14" style="209" customWidth="1"/>
    <col min="1542" max="1542" width="13.28515625" style="209" customWidth="1"/>
    <col min="1543" max="1543" width="14.140625" style="209" customWidth="1"/>
    <col min="1544" max="1544" width="13.140625" style="209" customWidth="1"/>
    <col min="1545" max="1545" width="13" style="209" customWidth="1"/>
    <col min="1546" max="1546" width="12.5703125" style="209" customWidth="1"/>
    <col min="1547" max="1547" width="14.5703125" style="209" customWidth="1"/>
    <col min="1548" max="1548" width="9.85546875" style="209" customWidth="1"/>
    <col min="1549" max="1549" width="13.7109375" style="209" customWidth="1"/>
    <col min="1550" max="1550" width="13.42578125" style="209" customWidth="1"/>
    <col min="1551" max="1551" width="15.140625" style="209" customWidth="1"/>
    <col min="1552" max="1792" width="9.140625" style="209"/>
    <col min="1793" max="1793" width="4.140625" style="209" customWidth="1"/>
    <col min="1794" max="1794" width="7.28515625" style="209" customWidth="1"/>
    <col min="1795" max="1795" width="0" style="209" hidden="1" customWidth="1"/>
    <col min="1796" max="1796" width="61.7109375" style="209" customWidth="1"/>
    <col min="1797" max="1797" width="14" style="209" customWidth="1"/>
    <col min="1798" max="1798" width="13.28515625" style="209" customWidth="1"/>
    <col min="1799" max="1799" width="14.140625" style="209" customWidth="1"/>
    <col min="1800" max="1800" width="13.140625" style="209" customWidth="1"/>
    <col min="1801" max="1801" width="13" style="209" customWidth="1"/>
    <col min="1802" max="1802" width="12.5703125" style="209" customWidth="1"/>
    <col min="1803" max="1803" width="14.5703125" style="209" customWidth="1"/>
    <col min="1804" max="1804" width="9.85546875" style="209" customWidth="1"/>
    <col min="1805" max="1805" width="13.7109375" style="209" customWidth="1"/>
    <col min="1806" max="1806" width="13.42578125" style="209" customWidth="1"/>
    <col min="1807" max="1807" width="15.140625" style="209" customWidth="1"/>
    <col min="1808" max="2048" width="9.140625" style="209"/>
    <col min="2049" max="2049" width="4.140625" style="209" customWidth="1"/>
    <col min="2050" max="2050" width="7.28515625" style="209" customWidth="1"/>
    <col min="2051" max="2051" width="0" style="209" hidden="1" customWidth="1"/>
    <col min="2052" max="2052" width="61.7109375" style="209" customWidth="1"/>
    <col min="2053" max="2053" width="14" style="209" customWidth="1"/>
    <col min="2054" max="2054" width="13.28515625" style="209" customWidth="1"/>
    <col min="2055" max="2055" width="14.140625" style="209" customWidth="1"/>
    <col min="2056" max="2056" width="13.140625" style="209" customWidth="1"/>
    <col min="2057" max="2057" width="13" style="209" customWidth="1"/>
    <col min="2058" max="2058" width="12.5703125" style="209" customWidth="1"/>
    <col min="2059" max="2059" width="14.5703125" style="209" customWidth="1"/>
    <col min="2060" max="2060" width="9.85546875" style="209" customWidth="1"/>
    <col min="2061" max="2061" width="13.7109375" style="209" customWidth="1"/>
    <col min="2062" max="2062" width="13.42578125" style="209" customWidth="1"/>
    <col min="2063" max="2063" width="15.140625" style="209" customWidth="1"/>
    <col min="2064" max="2304" width="9.140625" style="209"/>
    <col min="2305" max="2305" width="4.140625" style="209" customWidth="1"/>
    <col min="2306" max="2306" width="7.28515625" style="209" customWidth="1"/>
    <col min="2307" max="2307" width="0" style="209" hidden="1" customWidth="1"/>
    <col min="2308" max="2308" width="61.7109375" style="209" customWidth="1"/>
    <col min="2309" max="2309" width="14" style="209" customWidth="1"/>
    <col min="2310" max="2310" width="13.28515625" style="209" customWidth="1"/>
    <col min="2311" max="2311" width="14.140625" style="209" customWidth="1"/>
    <col min="2312" max="2312" width="13.140625" style="209" customWidth="1"/>
    <col min="2313" max="2313" width="13" style="209" customWidth="1"/>
    <col min="2314" max="2314" width="12.5703125" style="209" customWidth="1"/>
    <col min="2315" max="2315" width="14.5703125" style="209" customWidth="1"/>
    <col min="2316" max="2316" width="9.85546875" style="209" customWidth="1"/>
    <col min="2317" max="2317" width="13.7109375" style="209" customWidth="1"/>
    <col min="2318" max="2318" width="13.42578125" style="209" customWidth="1"/>
    <col min="2319" max="2319" width="15.140625" style="209" customWidth="1"/>
    <col min="2320" max="2560" width="9.140625" style="209"/>
    <col min="2561" max="2561" width="4.140625" style="209" customWidth="1"/>
    <col min="2562" max="2562" width="7.28515625" style="209" customWidth="1"/>
    <col min="2563" max="2563" width="0" style="209" hidden="1" customWidth="1"/>
    <col min="2564" max="2564" width="61.7109375" style="209" customWidth="1"/>
    <col min="2565" max="2565" width="14" style="209" customWidth="1"/>
    <col min="2566" max="2566" width="13.28515625" style="209" customWidth="1"/>
    <col min="2567" max="2567" width="14.140625" style="209" customWidth="1"/>
    <col min="2568" max="2568" width="13.140625" style="209" customWidth="1"/>
    <col min="2569" max="2569" width="13" style="209" customWidth="1"/>
    <col min="2570" max="2570" width="12.5703125" style="209" customWidth="1"/>
    <col min="2571" max="2571" width="14.5703125" style="209" customWidth="1"/>
    <col min="2572" max="2572" width="9.85546875" style="209" customWidth="1"/>
    <col min="2573" max="2573" width="13.7109375" style="209" customWidth="1"/>
    <col min="2574" max="2574" width="13.42578125" style="209" customWidth="1"/>
    <col min="2575" max="2575" width="15.140625" style="209" customWidth="1"/>
    <col min="2576" max="2816" width="9.140625" style="209"/>
    <col min="2817" max="2817" width="4.140625" style="209" customWidth="1"/>
    <col min="2818" max="2818" width="7.28515625" style="209" customWidth="1"/>
    <col min="2819" max="2819" width="0" style="209" hidden="1" customWidth="1"/>
    <col min="2820" max="2820" width="61.7109375" style="209" customWidth="1"/>
    <col min="2821" max="2821" width="14" style="209" customWidth="1"/>
    <col min="2822" max="2822" width="13.28515625" style="209" customWidth="1"/>
    <col min="2823" max="2823" width="14.140625" style="209" customWidth="1"/>
    <col min="2824" max="2824" width="13.140625" style="209" customWidth="1"/>
    <col min="2825" max="2825" width="13" style="209" customWidth="1"/>
    <col min="2826" max="2826" width="12.5703125" style="209" customWidth="1"/>
    <col min="2827" max="2827" width="14.5703125" style="209" customWidth="1"/>
    <col min="2828" max="2828" width="9.85546875" style="209" customWidth="1"/>
    <col min="2829" max="2829" width="13.7109375" style="209" customWidth="1"/>
    <col min="2830" max="2830" width="13.42578125" style="209" customWidth="1"/>
    <col min="2831" max="2831" width="15.140625" style="209" customWidth="1"/>
    <col min="2832" max="3072" width="9.140625" style="209"/>
    <col min="3073" max="3073" width="4.140625" style="209" customWidth="1"/>
    <col min="3074" max="3074" width="7.28515625" style="209" customWidth="1"/>
    <col min="3075" max="3075" width="0" style="209" hidden="1" customWidth="1"/>
    <col min="3076" max="3076" width="61.7109375" style="209" customWidth="1"/>
    <col min="3077" max="3077" width="14" style="209" customWidth="1"/>
    <col min="3078" max="3078" width="13.28515625" style="209" customWidth="1"/>
    <col min="3079" max="3079" width="14.140625" style="209" customWidth="1"/>
    <col min="3080" max="3080" width="13.140625" style="209" customWidth="1"/>
    <col min="3081" max="3081" width="13" style="209" customWidth="1"/>
    <col min="3082" max="3082" width="12.5703125" style="209" customWidth="1"/>
    <col min="3083" max="3083" width="14.5703125" style="209" customWidth="1"/>
    <col min="3084" max="3084" width="9.85546875" style="209" customWidth="1"/>
    <col min="3085" max="3085" width="13.7109375" style="209" customWidth="1"/>
    <col min="3086" max="3086" width="13.42578125" style="209" customWidth="1"/>
    <col min="3087" max="3087" width="15.140625" style="209" customWidth="1"/>
    <col min="3088" max="3328" width="9.140625" style="209"/>
    <col min="3329" max="3329" width="4.140625" style="209" customWidth="1"/>
    <col min="3330" max="3330" width="7.28515625" style="209" customWidth="1"/>
    <col min="3331" max="3331" width="0" style="209" hidden="1" customWidth="1"/>
    <col min="3332" max="3332" width="61.7109375" style="209" customWidth="1"/>
    <col min="3333" max="3333" width="14" style="209" customWidth="1"/>
    <col min="3334" max="3334" width="13.28515625" style="209" customWidth="1"/>
    <col min="3335" max="3335" width="14.140625" style="209" customWidth="1"/>
    <col min="3336" max="3336" width="13.140625" style="209" customWidth="1"/>
    <col min="3337" max="3337" width="13" style="209" customWidth="1"/>
    <col min="3338" max="3338" width="12.5703125" style="209" customWidth="1"/>
    <col min="3339" max="3339" width="14.5703125" style="209" customWidth="1"/>
    <col min="3340" max="3340" width="9.85546875" style="209" customWidth="1"/>
    <col min="3341" max="3341" width="13.7109375" style="209" customWidth="1"/>
    <col min="3342" max="3342" width="13.42578125" style="209" customWidth="1"/>
    <col min="3343" max="3343" width="15.140625" style="209" customWidth="1"/>
    <col min="3344" max="3584" width="9.140625" style="209"/>
    <col min="3585" max="3585" width="4.140625" style="209" customWidth="1"/>
    <col min="3586" max="3586" width="7.28515625" style="209" customWidth="1"/>
    <col min="3587" max="3587" width="0" style="209" hidden="1" customWidth="1"/>
    <col min="3588" max="3588" width="61.7109375" style="209" customWidth="1"/>
    <col min="3589" max="3589" width="14" style="209" customWidth="1"/>
    <col min="3590" max="3590" width="13.28515625" style="209" customWidth="1"/>
    <col min="3591" max="3591" width="14.140625" style="209" customWidth="1"/>
    <col min="3592" max="3592" width="13.140625" style="209" customWidth="1"/>
    <col min="3593" max="3593" width="13" style="209" customWidth="1"/>
    <col min="3594" max="3594" width="12.5703125" style="209" customWidth="1"/>
    <col min="3595" max="3595" width="14.5703125" style="209" customWidth="1"/>
    <col min="3596" max="3596" width="9.85546875" style="209" customWidth="1"/>
    <col min="3597" max="3597" width="13.7109375" style="209" customWidth="1"/>
    <col min="3598" max="3598" width="13.42578125" style="209" customWidth="1"/>
    <col min="3599" max="3599" width="15.140625" style="209" customWidth="1"/>
    <col min="3600" max="3840" width="9.140625" style="209"/>
    <col min="3841" max="3841" width="4.140625" style="209" customWidth="1"/>
    <col min="3842" max="3842" width="7.28515625" style="209" customWidth="1"/>
    <col min="3843" max="3843" width="0" style="209" hidden="1" customWidth="1"/>
    <col min="3844" max="3844" width="61.7109375" style="209" customWidth="1"/>
    <col min="3845" max="3845" width="14" style="209" customWidth="1"/>
    <col min="3846" max="3846" width="13.28515625" style="209" customWidth="1"/>
    <col min="3847" max="3847" width="14.140625" style="209" customWidth="1"/>
    <col min="3848" max="3848" width="13.140625" style="209" customWidth="1"/>
    <col min="3849" max="3849" width="13" style="209" customWidth="1"/>
    <col min="3850" max="3850" width="12.5703125" style="209" customWidth="1"/>
    <col min="3851" max="3851" width="14.5703125" style="209" customWidth="1"/>
    <col min="3852" max="3852" width="9.85546875" style="209" customWidth="1"/>
    <col min="3853" max="3853" width="13.7109375" style="209" customWidth="1"/>
    <col min="3854" max="3854" width="13.42578125" style="209" customWidth="1"/>
    <col min="3855" max="3855" width="15.140625" style="209" customWidth="1"/>
    <col min="3856" max="4096" width="9.140625" style="209"/>
    <col min="4097" max="4097" width="4.140625" style="209" customWidth="1"/>
    <col min="4098" max="4098" width="7.28515625" style="209" customWidth="1"/>
    <col min="4099" max="4099" width="0" style="209" hidden="1" customWidth="1"/>
    <col min="4100" max="4100" width="61.7109375" style="209" customWidth="1"/>
    <col min="4101" max="4101" width="14" style="209" customWidth="1"/>
    <col min="4102" max="4102" width="13.28515625" style="209" customWidth="1"/>
    <col min="4103" max="4103" width="14.140625" style="209" customWidth="1"/>
    <col min="4104" max="4104" width="13.140625" style="209" customWidth="1"/>
    <col min="4105" max="4105" width="13" style="209" customWidth="1"/>
    <col min="4106" max="4106" width="12.5703125" style="209" customWidth="1"/>
    <col min="4107" max="4107" width="14.5703125" style="209" customWidth="1"/>
    <col min="4108" max="4108" width="9.85546875" style="209" customWidth="1"/>
    <col min="4109" max="4109" width="13.7109375" style="209" customWidth="1"/>
    <col min="4110" max="4110" width="13.42578125" style="209" customWidth="1"/>
    <col min="4111" max="4111" width="15.140625" style="209" customWidth="1"/>
    <col min="4112" max="4352" width="9.140625" style="209"/>
    <col min="4353" max="4353" width="4.140625" style="209" customWidth="1"/>
    <col min="4354" max="4354" width="7.28515625" style="209" customWidth="1"/>
    <col min="4355" max="4355" width="0" style="209" hidden="1" customWidth="1"/>
    <col min="4356" max="4356" width="61.7109375" style="209" customWidth="1"/>
    <col min="4357" max="4357" width="14" style="209" customWidth="1"/>
    <col min="4358" max="4358" width="13.28515625" style="209" customWidth="1"/>
    <col min="4359" max="4359" width="14.140625" style="209" customWidth="1"/>
    <col min="4360" max="4360" width="13.140625" style="209" customWidth="1"/>
    <col min="4361" max="4361" width="13" style="209" customWidth="1"/>
    <col min="4362" max="4362" width="12.5703125" style="209" customWidth="1"/>
    <col min="4363" max="4363" width="14.5703125" style="209" customWidth="1"/>
    <col min="4364" max="4364" width="9.85546875" style="209" customWidth="1"/>
    <col min="4365" max="4365" width="13.7109375" style="209" customWidth="1"/>
    <col min="4366" max="4366" width="13.42578125" style="209" customWidth="1"/>
    <col min="4367" max="4367" width="15.140625" style="209" customWidth="1"/>
    <col min="4368" max="4608" width="9.140625" style="209"/>
    <col min="4609" max="4609" width="4.140625" style="209" customWidth="1"/>
    <col min="4610" max="4610" width="7.28515625" style="209" customWidth="1"/>
    <col min="4611" max="4611" width="0" style="209" hidden="1" customWidth="1"/>
    <col min="4612" max="4612" width="61.7109375" style="209" customWidth="1"/>
    <col min="4613" max="4613" width="14" style="209" customWidth="1"/>
    <col min="4614" max="4614" width="13.28515625" style="209" customWidth="1"/>
    <col min="4615" max="4615" width="14.140625" style="209" customWidth="1"/>
    <col min="4616" max="4616" width="13.140625" style="209" customWidth="1"/>
    <col min="4617" max="4617" width="13" style="209" customWidth="1"/>
    <col min="4618" max="4618" width="12.5703125" style="209" customWidth="1"/>
    <col min="4619" max="4619" width="14.5703125" style="209" customWidth="1"/>
    <col min="4620" max="4620" width="9.85546875" style="209" customWidth="1"/>
    <col min="4621" max="4621" width="13.7109375" style="209" customWidth="1"/>
    <col min="4622" max="4622" width="13.42578125" style="209" customWidth="1"/>
    <col min="4623" max="4623" width="15.140625" style="209" customWidth="1"/>
    <col min="4624" max="4864" width="9.140625" style="209"/>
    <col min="4865" max="4865" width="4.140625" style="209" customWidth="1"/>
    <col min="4866" max="4866" width="7.28515625" style="209" customWidth="1"/>
    <col min="4867" max="4867" width="0" style="209" hidden="1" customWidth="1"/>
    <col min="4868" max="4868" width="61.7109375" style="209" customWidth="1"/>
    <col min="4869" max="4869" width="14" style="209" customWidth="1"/>
    <col min="4870" max="4870" width="13.28515625" style="209" customWidth="1"/>
    <col min="4871" max="4871" width="14.140625" style="209" customWidth="1"/>
    <col min="4872" max="4872" width="13.140625" style="209" customWidth="1"/>
    <col min="4873" max="4873" width="13" style="209" customWidth="1"/>
    <col min="4874" max="4874" width="12.5703125" style="209" customWidth="1"/>
    <col min="4875" max="4875" width="14.5703125" style="209" customWidth="1"/>
    <col min="4876" max="4876" width="9.85546875" style="209" customWidth="1"/>
    <col min="4877" max="4877" width="13.7109375" style="209" customWidth="1"/>
    <col min="4878" max="4878" width="13.42578125" style="209" customWidth="1"/>
    <col min="4879" max="4879" width="15.140625" style="209" customWidth="1"/>
    <col min="4880" max="5120" width="9.140625" style="209"/>
    <col min="5121" max="5121" width="4.140625" style="209" customWidth="1"/>
    <col min="5122" max="5122" width="7.28515625" style="209" customWidth="1"/>
    <col min="5123" max="5123" width="0" style="209" hidden="1" customWidth="1"/>
    <col min="5124" max="5124" width="61.7109375" style="209" customWidth="1"/>
    <col min="5125" max="5125" width="14" style="209" customWidth="1"/>
    <col min="5126" max="5126" width="13.28515625" style="209" customWidth="1"/>
    <col min="5127" max="5127" width="14.140625" style="209" customWidth="1"/>
    <col min="5128" max="5128" width="13.140625" style="209" customWidth="1"/>
    <col min="5129" max="5129" width="13" style="209" customWidth="1"/>
    <col min="5130" max="5130" width="12.5703125" style="209" customWidth="1"/>
    <col min="5131" max="5131" width="14.5703125" style="209" customWidth="1"/>
    <col min="5132" max="5132" width="9.85546875" style="209" customWidth="1"/>
    <col min="5133" max="5133" width="13.7109375" style="209" customWidth="1"/>
    <col min="5134" max="5134" width="13.42578125" style="209" customWidth="1"/>
    <col min="5135" max="5135" width="15.140625" style="209" customWidth="1"/>
    <col min="5136" max="5376" width="9.140625" style="209"/>
    <col min="5377" max="5377" width="4.140625" style="209" customWidth="1"/>
    <col min="5378" max="5378" width="7.28515625" style="209" customWidth="1"/>
    <col min="5379" max="5379" width="0" style="209" hidden="1" customWidth="1"/>
    <col min="5380" max="5380" width="61.7109375" style="209" customWidth="1"/>
    <col min="5381" max="5381" width="14" style="209" customWidth="1"/>
    <col min="5382" max="5382" width="13.28515625" style="209" customWidth="1"/>
    <col min="5383" max="5383" width="14.140625" style="209" customWidth="1"/>
    <col min="5384" max="5384" width="13.140625" style="209" customWidth="1"/>
    <col min="5385" max="5385" width="13" style="209" customWidth="1"/>
    <col min="5386" max="5386" width="12.5703125" style="209" customWidth="1"/>
    <col min="5387" max="5387" width="14.5703125" style="209" customWidth="1"/>
    <col min="5388" max="5388" width="9.85546875" style="209" customWidth="1"/>
    <col min="5389" max="5389" width="13.7109375" style="209" customWidth="1"/>
    <col min="5390" max="5390" width="13.42578125" style="209" customWidth="1"/>
    <col min="5391" max="5391" width="15.140625" style="209" customWidth="1"/>
    <col min="5392" max="5632" width="9.140625" style="209"/>
    <col min="5633" max="5633" width="4.140625" style="209" customWidth="1"/>
    <col min="5634" max="5634" width="7.28515625" style="209" customWidth="1"/>
    <col min="5635" max="5635" width="0" style="209" hidden="1" customWidth="1"/>
    <col min="5636" max="5636" width="61.7109375" style="209" customWidth="1"/>
    <col min="5637" max="5637" width="14" style="209" customWidth="1"/>
    <col min="5638" max="5638" width="13.28515625" style="209" customWidth="1"/>
    <col min="5639" max="5639" width="14.140625" style="209" customWidth="1"/>
    <col min="5640" max="5640" width="13.140625" style="209" customWidth="1"/>
    <col min="5641" max="5641" width="13" style="209" customWidth="1"/>
    <col min="5642" max="5642" width="12.5703125" style="209" customWidth="1"/>
    <col min="5643" max="5643" width="14.5703125" style="209" customWidth="1"/>
    <col min="5644" max="5644" width="9.85546875" style="209" customWidth="1"/>
    <col min="5645" max="5645" width="13.7109375" style="209" customWidth="1"/>
    <col min="5646" max="5646" width="13.42578125" style="209" customWidth="1"/>
    <col min="5647" max="5647" width="15.140625" style="209" customWidth="1"/>
    <col min="5648" max="5888" width="9.140625" style="209"/>
    <col min="5889" max="5889" width="4.140625" style="209" customWidth="1"/>
    <col min="5890" max="5890" width="7.28515625" style="209" customWidth="1"/>
    <col min="5891" max="5891" width="0" style="209" hidden="1" customWidth="1"/>
    <col min="5892" max="5892" width="61.7109375" style="209" customWidth="1"/>
    <col min="5893" max="5893" width="14" style="209" customWidth="1"/>
    <col min="5894" max="5894" width="13.28515625" style="209" customWidth="1"/>
    <col min="5895" max="5895" width="14.140625" style="209" customWidth="1"/>
    <col min="5896" max="5896" width="13.140625" style="209" customWidth="1"/>
    <col min="5897" max="5897" width="13" style="209" customWidth="1"/>
    <col min="5898" max="5898" width="12.5703125" style="209" customWidth="1"/>
    <col min="5899" max="5899" width="14.5703125" style="209" customWidth="1"/>
    <col min="5900" max="5900" width="9.85546875" style="209" customWidth="1"/>
    <col min="5901" max="5901" width="13.7109375" style="209" customWidth="1"/>
    <col min="5902" max="5902" width="13.42578125" style="209" customWidth="1"/>
    <col min="5903" max="5903" width="15.140625" style="209" customWidth="1"/>
    <col min="5904" max="6144" width="9.140625" style="209"/>
    <col min="6145" max="6145" width="4.140625" style="209" customWidth="1"/>
    <col min="6146" max="6146" width="7.28515625" style="209" customWidth="1"/>
    <col min="6147" max="6147" width="0" style="209" hidden="1" customWidth="1"/>
    <col min="6148" max="6148" width="61.7109375" style="209" customWidth="1"/>
    <col min="6149" max="6149" width="14" style="209" customWidth="1"/>
    <col min="6150" max="6150" width="13.28515625" style="209" customWidth="1"/>
    <col min="6151" max="6151" width="14.140625" style="209" customWidth="1"/>
    <col min="6152" max="6152" width="13.140625" style="209" customWidth="1"/>
    <col min="6153" max="6153" width="13" style="209" customWidth="1"/>
    <col min="6154" max="6154" width="12.5703125" style="209" customWidth="1"/>
    <col min="6155" max="6155" width="14.5703125" style="209" customWidth="1"/>
    <col min="6156" max="6156" width="9.85546875" style="209" customWidth="1"/>
    <col min="6157" max="6157" width="13.7109375" style="209" customWidth="1"/>
    <col min="6158" max="6158" width="13.42578125" style="209" customWidth="1"/>
    <col min="6159" max="6159" width="15.140625" style="209" customWidth="1"/>
    <col min="6160" max="6400" width="9.140625" style="209"/>
    <col min="6401" max="6401" width="4.140625" style="209" customWidth="1"/>
    <col min="6402" max="6402" width="7.28515625" style="209" customWidth="1"/>
    <col min="6403" max="6403" width="0" style="209" hidden="1" customWidth="1"/>
    <col min="6404" max="6404" width="61.7109375" style="209" customWidth="1"/>
    <col min="6405" max="6405" width="14" style="209" customWidth="1"/>
    <col min="6406" max="6406" width="13.28515625" style="209" customWidth="1"/>
    <col min="6407" max="6407" width="14.140625" style="209" customWidth="1"/>
    <col min="6408" max="6408" width="13.140625" style="209" customWidth="1"/>
    <col min="6409" max="6409" width="13" style="209" customWidth="1"/>
    <col min="6410" max="6410" width="12.5703125" style="209" customWidth="1"/>
    <col min="6411" max="6411" width="14.5703125" style="209" customWidth="1"/>
    <col min="6412" max="6412" width="9.85546875" style="209" customWidth="1"/>
    <col min="6413" max="6413" width="13.7109375" style="209" customWidth="1"/>
    <col min="6414" max="6414" width="13.42578125" style="209" customWidth="1"/>
    <col min="6415" max="6415" width="15.140625" style="209" customWidth="1"/>
    <col min="6416" max="6656" width="9.140625" style="209"/>
    <col min="6657" max="6657" width="4.140625" style="209" customWidth="1"/>
    <col min="6658" max="6658" width="7.28515625" style="209" customWidth="1"/>
    <col min="6659" max="6659" width="0" style="209" hidden="1" customWidth="1"/>
    <col min="6660" max="6660" width="61.7109375" style="209" customWidth="1"/>
    <col min="6661" max="6661" width="14" style="209" customWidth="1"/>
    <col min="6662" max="6662" width="13.28515625" style="209" customWidth="1"/>
    <col min="6663" max="6663" width="14.140625" style="209" customWidth="1"/>
    <col min="6664" max="6664" width="13.140625" style="209" customWidth="1"/>
    <col min="6665" max="6665" width="13" style="209" customWidth="1"/>
    <col min="6666" max="6666" width="12.5703125" style="209" customWidth="1"/>
    <col min="6667" max="6667" width="14.5703125" style="209" customWidth="1"/>
    <col min="6668" max="6668" width="9.85546875" style="209" customWidth="1"/>
    <col min="6669" max="6669" width="13.7109375" style="209" customWidth="1"/>
    <col min="6670" max="6670" width="13.42578125" style="209" customWidth="1"/>
    <col min="6671" max="6671" width="15.140625" style="209" customWidth="1"/>
    <col min="6672" max="6912" width="9.140625" style="209"/>
    <col min="6913" max="6913" width="4.140625" style="209" customWidth="1"/>
    <col min="6914" max="6914" width="7.28515625" style="209" customWidth="1"/>
    <col min="6915" max="6915" width="0" style="209" hidden="1" customWidth="1"/>
    <col min="6916" max="6916" width="61.7109375" style="209" customWidth="1"/>
    <col min="6917" max="6917" width="14" style="209" customWidth="1"/>
    <col min="6918" max="6918" width="13.28515625" style="209" customWidth="1"/>
    <col min="6919" max="6919" width="14.140625" style="209" customWidth="1"/>
    <col min="6920" max="6920" width="13.140625" style="209" customWidth="1"/>
    <col min="6921" max="6921" width="13" style="209" customWidth="1"/>
    <col min="6922" max="6922" width="12.5703125" style="209" customWidth="1"/>
    <col min="6923" max="6923" width="14.5703125" style="209" customWidth="1"/>
    <col min="6924" max="6924" width="9.85546875" style="209" customWidth="1"/>
    <col min="6925" max="6925" width="13.7109375" style="209" customWidth="1"/>
    <col min="6926" max="6926" width="13.42578125" style="209" customWidth="1"/>
    <col min="6927" max="6927" width="15.140625" style="209" customWidth="1"/>
    <col min="6928" max="7168" width="9.140625" style="209"/>
    <col min="7169" max="7169" width="4.140625" style="209" customWidth="1"/>
    <col min="7170" max="7170" width="7.28515625" style="209" customWidth="1"/>
    <col min="7171" max="7171" width="0" style="209" hidden="1" customWidth="1"/>
    <col min="7172" max="7172" width="61.7109375" style="209" customWidth="1"/>
    <col min="7173" max="7173" width="14" style="209" customWidth="1"/>
    <col min="7174" max="7174" width="13.28515625" style="209" customWidth="1"/>
    <col min="7175" max="7175" width="14.140625" style="209" customWidth="1"/>
    <col min="7176" max="7176" width="13.140625" style="209" customWidth="1"/>
    <col min="7177" max="7177" width="13" style="209" customWidth="1"/>
    <col min="7178" max="7178" width="12.5703125" style="209" customWidth="1"/>
    <col min="7179" max="7179" width="14.5703125" style="209" customWidth="1"/>
    <col min="7180" max="7180" width="9.85546875" style="209" customWidth="1"/>
    <col min="7181" max="7181" width="13.7109375" style="209" customWidth="1"/>
    <col min="7182" max="7182" width="13.42578125" style="209" customWidth="1"/>
    <col min="7183" max="7183" width="15.140625" style="209" customWidth="1"/>
    <col min="7184" max="7424" width="9.140625" style="209"/>
    <col min="7425" max="7425" width="4.140625" style="209" customWidth="1"/>
    <col min="7426" max="7426" width="7.28515625" style="209" customWidth="1"/>
    <col min="7427" max="7427" width="0" style="209" hidden="1" customWidth="1"/>
    <col min="7428" max="7428" width="61.7109375" style="209" customWidth="1"/>
    <col min="7429" max="7429" width="14" style="209" customWidth="1"/>
    <col min="7430" max="7430" width="13.28515625" style="209" customWidth="1"/>
    <col min="7431" max="7431" width="14.140625" style="209" customWidth="1"/>
    <col min="7432" max="7432" width="13.140625" style="209" customWidth="1"/>
    <col min="7433" max="7433" width="13" style="209" customWidth="1"/>
    <col min="7434" max="7434" width="12.5703125" style="209" customWidth="1"/>
    <col min="7435" max="7435" width="14.5703125" style="209" customWidth="1"/>
    <col min="7436" max="7436" width="9.85546875" style="209" customWidth="1"/>
    <col min="7437" max="7437" width="13.7109375" style="209" customWidth="1"/>
    <col min="7438" max="7438" width="13.42578125" style="209" customWidth="1"/>
    <col min="7439" max="7439" width="15.140625" style="209" customWidth="1"/>
    <col min="7440" max="7680" width="9.140625" style="209"/>
    <col min="7681" max="7681" width="4.140625" style="209" customWidth="1"/>
    <col min="7682" max="7682" width="7.28515625" style="209" customWidth="1"/>
    <col min="7683" max="7683" width="0" style="209" hidden="1" customWidth="1"/>
    <col min="7684" max="7684" width="61.7109375" style="209" customWidth="1"/>
    <col min="7685" max="7685" width="14" style="209" customWidth="1"/>
    <col min="7686" max="7686" width="13.28515625" style="209" customWidth="1"/>
    <col min="7687" max="7687" width="14.140625" style="209" customWidth="1"/>
    <col min="7688" max="7688" width="13.140625" style="209" customWidth="1"/>
    <col min="7689" max="7689" width="13" style="209" customWidth="1"/>
    <col min="7690" max="7690" width="12.5703125" style="209" customWidth="1"/>
    <col min="7691" max="7691" width="14.5703125" style="209" customWidth="1"/>
    <col min="7692" max="7692" width="9.85546875" style="209" customWidth="1"/>
    <col min="7693" max="7693" width="13.7109375" style="209" customWidth="1"/>
    <col min="7694" max="7694" width="13.42578125" style="209" customWidth="1"/>
    <col min="7695" max="7695" width="15.140625" style="209" customWidth="1"/>
    <col min="7696" max="7936" width="9.140625" style="209"/>
    <col min="7937" max="7937" width="4.140625" style="209" customWidth="1"/>
    <col min="7938" max="7938" width="7.28515625" style="209" customWidth="1"/>
    <col min="7939" max="7939" width="0" style="209" hidden="1" customWidth="1"/>
    <col min="7940" max="7940" width="61.7109375" style="209" customWidth="1"/>
    <col min="7941" max="7941" width="14" style="209" customWidth="1"/>
    <col min="7942" max="7942" width="13.28515625" style="209" customWidth="1"/>
    <col min="7943" max="7943" width="14.140625" style="209" customWidth="1"/>
    <col min="7944" max="7944" width="13.140625" style="209" customWidth="1"/>
    <col min="7945" max="7945" width="13" style="209" customWidth="1"/>
    <col min="7946" max="7946" width="12.5703125" style="209" customWidth="1"/>
    <col min="7947" max="7947" width="14.5703125" style="209" customWidth="1"/>
    <col min="7948" max="7948" width="9.85546875" style="209" customWidth="1"/>
    <col min="7949" max="7949" width="13.7109375" style="209" customWidth="1"/>
    <col min="7950" max="7950" width="13.42578125" style="209" customWidth="1"/>
    <col min="7951" max="7951" width="15.140625" style="209" customWidth="1"/>
    <col min="7952" max="8192" width="9.140625" style="209"/>
    <col min="8193" max="8193" width="4.140625" style="209" customWidth="1"/>
    <col min="8194" max="8194" width="7.28515625" style="209" customWidth="1"/>
    <col min="8195" max="8195" width="0" style="209" hidden="1" customWidth="1"/>
    <col min="8196" max="8196" width="61.7109375" style="209" customWidth="1"/>
    <col min="8197" max="8197" width="14" style="209" customWidth="1"/>
    <col min="8198" max="8198" width="13.28515625" style="209" customWidth="1"/>
    <col min="8199" max="8199" width="14.140625" style="209" customWidth="1"/>
    <col min="8200" max="8200" width="13.140625" style="209" customWidth="1"/>
    <col min="8201" max="8201" width="13" style="209" customWidth="1"/>
    <col min="8202" max="8202" width="12.5703125" style="209" customWidth="1"/>
    <col min="8203" max="8203" width="14.5703125" style="209" customWidth="1"/>
    <col min="8204" max="8204" width="9.85546875" style="209" customWidth="1"/>
    <col min="8205" max="8205" width="13.7109375" style="209" customWidth="1"/>
    <col min="8206" max="8206" width="13.42578125" style="209" customWidth="1"/>
    <col min="8207" max="8207" width="15.140625" style="209" customWidth="1"/>
    <col min="8208" max="8448" width="9.140625" style="209"/>
    <col min="8449" max="8449" width="4.140625" style="209" customWidth="1"/>
    <col min="8450" max="8450" width="7.28515625" style="209" customWidth="1"/>
    <col min="8451" max="8451" width="0" style="209" hidden="1" customWidth="1"/>
    <col min="8452" max="8452" width="61.7109375" style="209" customWidth="1"/>
    <col min="8453" max="8453" width="14" style="209" customWidth="1"/>
    <col min="8454" max="8454" width="13.28515625" style="209" customWidth="1"/>
    <col min="8455" max="8455" width="14.140625" style="209" customWidth="1"/>
    <col min="8456" max="8456" width="13.140625" style="209" customWidth="1"/>
    <col min="8457" max="8457" width="13" style="209" customWidth="1"/>
    <col min="8458" max="8458" width="12.5703125" style="209" customWidth="1"/>
    <col min="8459" max="8459" width="14.5703125" style="209" customWidth="1"/>
    <col min="8460" max="8460" width="9.85546875" style="209" customWidth="1"/>
    <col min="8461" max="8461" width="13.7109375" style="209" customWidth="1"/>
    <col min="8462" max="8462" width="13.42578125" style="209" customWidth="1"/>
    <col min="8463" max="8463" width="15.140625" style="209" customWidth="1"/>
    <col min="8464" max="8704" width="9.140625" style="209"/>
    <col min="8705" max="8705" width="4.140625" style="209" customWidth="1"/>
    <col min="8706" max="8706" width="7.28515625" style="209" customWidth="1"/>
    <col min="8707" max="8707" width="0" style="209" hidden="1" customWidth="1"/>
    <col min="8708" max="8708" width="61.7109375" style="209" customWidth="1"/>
    <col min="8709" max="8709" width="14" style="209" customWidth="1"/>
    <col min="8710" max="8710" width="13.28515625" style="209" customWidth="1"/>
    <col min="8711" max="8711" width="14.140625" style="209" customWidth="1"/>
    <col min="8712" max="8712" width="13.140625" style="209" customWidth="1"/>
    <col min="8713" max="8713" width="13" style="209" customWidth="1"/>
    <col min="8714" max="8714" width="12.5703125" style="209" customWidth="1"/>
    <col min="8715" max="8715" width="14.5703125" style="209" customWidth="1"/>
    <col min="8716" max="8716" width="9.85546875" style="209" customWidth="1"/>
    <col min="8717" max="8717" width="13.7109375" style="209" customWidth="1"/>
    <col min="8718" max="8718" width="13.42578125" style="209" customWidth="1"/>
    <col min="8719" max="8719" width="15.140625" style="209" customWidth="1"/>
    <col min="8720" max="8960" width="9.140625" style="209"/>
    <col min="8961" max="8961" width="4.140625" style="209" customWidth="1"/>
    <col min="8962" max="8962" width="7.28515625" style="209" customWidth="1"/>
    <col min="8963" max="8963" width="0" style="209" hidden="1" customWidth="1"/>
    <col min="8964" max="8964" width="61.7109375" style="209" customWidth="1"/>
    <col min="8965" max="8965" width="14" style="209" customWidth="1"/>
    <col min="8966" max="8966" width="13.28515625" style="209" customWidth="1"/>
    <col min="8967" max="8967" width="14.140625" style="209" customWidth="1"/>
    <col min="8968" max="8968" width="13.140625" style="209" customWidth="1"/>
    <col min="8969" max="8969" width="13" style="209" customWidth="1"/>
    <col min="8970" max="8970" width="12.5703125" style="209" customWidth="1"/>
    <col min="8971" max="8971" width="14.5703125" style="209" customWidth="1"/>
    <col min="8972" max="8972" width="9.85546875" style="209" customWidth="1"/>
    <col min="8973" max="8973" width="13.7109375" style="209" customWidth="1"/>
    <col min="8974" max="8974" width="13.42578125" style="209" customWidth="1"/>
    <col min="8975" max="8975" width="15.140625" style="209" customWidth="1"/>
    <col min="8976" max="9216" width="9.140625" style="209"/>
    <col min="9217" max="9217" width="4.140625" style="209" customWidth="1"/>
    <col min="9218" max="9218" width="7.28515625" style="209" customWidth="1"/>
    <col min="9219" max="9219" width="0" style="209" hidden="1" customWidth="1"/>
    <col min="9220" max="9220" width="61.7109375" style="209" customWidth="1"/>
    <col min="9221" max="9221" width="14" style="209" customWidth="1"/>
    <col min="9222" max="9222" width="13.28515625" style="209" customWidth="1"/>
    <col min="9223" max="9223" width="14.140625" style="209" customWidth="1"/>
    <col min="9224" max="9224" width="13.140625" style="209" customWidth="1"/>
    <col min="9225" max="9225" width="13" style="209" customWidth="1"/>
    <col min="9226" max="9226" width="12.5703125" style="209" customWidth="1"/>
    <col min="9227" max="9227" width="14.5703125" style="209" customWidth="1"/>
    <col min="9228" max="9228" width="9.85546875" style="209" customWidth="1"/>
    <col min="9229" max="9229" width="13.7109375" style="209" customWidth="1"/>
    <col min="9230" max="9230" width="13.42578125" style="209" customWidth="1"/>
    <col min="9231" max="9231" width="15.140625" style="209" customWidth="1"/>
    <col min="9232" max="9472" width="9.140625" style="209"/>
    <col min="9473" max="9473" width="4.140625" style="209" customWidth="1"/>
    <col min="9474" max="9474" width="7.28515625" style="209" customWidth="1"/>
    <col min="9475" max="9475" width="0" style="209" hidden="1" customWidth="1"/>
    <col min="9476" max="9476" width="61.7109375" style="209" customWidth="1"/>
    <col min="9477" max="9477" width="14" style="209" customWidth="1"/>
    <col min="9478" max="9478" width="13.28515625" style="209" customWidth="1"/>
    <col min="9479" max="9479" width="14.140625" style="209" customWidth="1"/>
    <col min="9480" max="9480" width="13.140625" style="209" customWidth="1"/>
    <col min="9481" max="9481" width="13" style="209" customWidth="1"/>
    <col min="9482" max="9482" width="12.5703125" style="209" customWidth="1"/>
    <col min="9483" max="9483" width="14.5703125" style="209" customWidth="1"/>
    <col min="9484" max="9484" width="9.85546875" style="209" customWidth="1"/>
    <col min="9485" max="9485" width="13.7109375" style="209" customWidth="1"/>
    <col min="9486" max="9486" width="13.42578125" style="209" customWidth="1"/>
    <col min="9487" max="9487" width="15.140625" style="209" customWidth="1"/>
    <col min="9488" max="9728" width="9.140625" style="209"/>
    <col min="9729" max="9729" width="4.140625" style="209" customWidth="1"/>
    <col min="9730" max="9730" width="7.28515625" style="209" customWidth="1"/>
    <col min="9731" max="9731" width="0" style="209" hidden="1" customWidth="1"/>
    <col min="9732" max="9732" width="61.7109375" style="209" customWidth="1"/>
    <col min="9733" max="9733" width="14" style="209" customWidth="1"/>
    <col min="9734" max="9734" width="13.28515625" style="209" customWidth="1"/>
    <col min="9735" max="9735" width="14.140625" style="209" customWidth="1"/>
    <col min="9736" max="9736" width="13.140625" style="209" customWidth="1"/>
    <col min="9737" max="9737" width="13" style="209" customWidth="1"/>
    <col min="9738" max="9738" width="12.5703125" style="209" customWidth="1"/>
    <col min="9739" max="9739" width="14.5703125" style="209" customWidth="1"/>
    <col min="9740" max="9740" width="9.85546875" style="209" customWidth="1"/>
    <col min="9741" max="9741" width="13.7109375" style="209" customWidth="1"/>
    <col min="9742" max="9742" width="13.42578125" style="209" customWidth="1"/>
    <col min="9743" max="9743" width="15.140625" style="209" customWidth="1"/>
    <col min="9744" max="9984" width="9.140625" style="209"/>
    <col min="9985" max="9985" width="4.140625" style="209" customWidth="1"/>
    <col min="9986" max="9986" width="7.28515625" style="209" customWidth="1"/>
    <col min="9987" max="9987" width="0" style="209" hidden="1" customWidth="1"/>
    <col min="9988" max="9988" width="61.7109375" style="209" customWidth="1"/>
    <col min="9989" max="9989" width="14" style="209" customWidth="1"/>
    <col min="9990" max="9990" width="13.28515625" style="209" customWidth="1"/>
    <col min="9991" max="9991" width="14.140625" style="209" customWidth="1"/>
    <col min="9992" max="9992" width="13.140625" style="209" customWidth="1"/>
    <col min="9993" max="9993" width="13" style="209" customWidth="1"/>
    <col min="9994" max="9994" width="12.5703125" style="209" customWidth="1"/>
    <col min="9995" max="9995" width="14.5703125" style="209" customWidth="1"/>
    <col min="9996" max="9996" width="9.85546875" style="209" customWidth="1"/>
    <col min="9997" max="9997" width="13.7109375" style="209" customWidth="1"/>
    <col min="9998" max="9998" width="13.42578125" style="209" customWidth="1"/>
    <col min="9999" max="9999" width="15.140625" style="209" customWidth="1"/>
    <col min="10000" max="10240" width="9.140625" style="209"/>
    <col min="10241" max="10241" width="4.140625" style="209" customWidth="1"/>
    <col min="10242" max="10242" width="7.28515625" style="209" customWidth="1"/>
    <col min="10243" max="10243" width="0" style="209" hidden="1" customWidth="1"/>
    <col min="10244" max="10244" width="61.7109375" style="209" customWidth="1"/>
    <col min="10245" max="10245" width="14" style="209" customWidth="1"/>
    <col min="10246" max="10246" width="13.28515625" style="209" customWidth="1"/>
    <col min="10247" max="10247" width="14.140625" style="209" customWidth="1"/>
    <col min="10248" max="10248" width="13.140625" style="209" customWidth="1"/>
    <col min="10249" max="10249" width="13" style="209" customWidth="1"/>
    <col min="10250" max="10250" width="12.5703125" style="209" customWidth="1"/>
    <col min="10251" max="10251" width="14.5703125" style="209" customWidth="1"/>
    <col min="10252" max="10252" width="9.85546875" style="209" customWidth="1"/>
    <col min="10253" max="10253" width="13.7109375" style="209" customWidth="1"/>
    <col min="10254" max="10254" width="13.42578125" style="209" customWidth="1"/>
    <col min="10255" max="10255" width="15.140625" style="209" customWidth="1"/>
    <col min="10256" max="10496" width="9.140625" style="209"/>
    <col min="10497" max="10497" width="4.140625" style="209" customWidth="1"/>
    <col min="10498" max="10498" width="7.28515625" style="209" customWidth="1"/>
    <col min="10499" max="10499" width="0" style="209" hidden="1" customWidth="1"/>
    <col min="10500" max="10500" width="61.7109375" style="209" customWidth="1"/>
    <col min="10501" max="10501" width="14" style="209" customWidth="1"/>
    <col min="10502" max="10502" width="13.28515625" style="209" customWidth="1"/>
    <col min="10503" max="10503" width="14.140625" style="209" customWidth="1"/>
    <col min="10504" max="10504" width="13.140625" style="209" customWidth="1"/>
    <col min="10505" max="10505" width="13" style="209" customWidth="1"/>
    <col min="10506" max="10506" width="12.5703125" style="209" customWidth="1"/>
    <col min="10507" max="10507" width="14.5703125" style="209" customWidth="1"/>
    <col min="10508" max="10508" width="9.85546875" style="209" customWidth="1"/>
    <col min="10509" max="10509" width="13.7109375" style="209" customWidth="1"/>
    <col min="10510" max="10510" width="13.42578125" style="209" customWidth="1"/>
    <col min="10511" max="10511" width="15.140625" style="209" customWidth="1"/>
    <col min="10512" max="10752" width="9.140625" style="209"/>
    <col min="10753" max="10753" width="4.140625" style="209" customWidth="1"/>
    <col min="10754" max="10754" width="7.28515625" style="209" customWidth="1"/>
    <col min="10755" max="10755" width="0" style="209" hidden="1" customWidth="1"/>
    <col min="10756" max="10756" width="61.7109375" style="209" customWidth="1"/>
    <col min="10757" max="10757" width="14" style="209" customWidth="1"/>
    <col min="10758" max="10758" width="13.28515625" style="209" customWidth="1"/>
    <col min="10759" max="10759" width="14.140625" style="209" customWidth="1"/>
    <col min="10760" max="10760" width="13.140625" style="209" customWidth="1"/>
    <col min="10761" max="10761" width="13" style="209" customWidth="1"/>
    <col min="10762" max="10762" width="12.5703125" style="209" customWidth="1"/>
    <col min="10763" max="10763" width="14.5703125" style="209" customWidth="1"/>
    <col min="10764" max="10764" width="9.85546875" style="209" customWidth="1"/>
    <col min="10765" max="10765" width="13.7109375" style="209" customWidth="1"/>
    <col min="10766" max="10766" width="13.42578125" style="209" customWidth="1"/>
    <col min="10767" max="10767" width="15.140625" style="209" customWidth="1"/>
    <col min="10768" max="11008" width="9.140625" style="209"/>
    <col min="11009" max="11009" width="4.140625" style="209" customWidth="1"/>
    <col min="11010" max="11010" width="7.28515625" style="209" customWidth="1"/>
    <col min="11011" max="11011" width="0" style="209" hidden="1" customWidth="1"/>
    <col min="11012" max="11012" width="61.7109375" style="209" customWidth="1"/>
    <col min="11013" max="11013" width="14" style="209" customWidth="1"/>
    <col min="11014" max="11014" width="13.28515625" style="209" customWidth="1"/>
    <col min="11015" max="11015" width="14.140625" style="209" customWidth="1"/>
    <col min="11016" max="11016" width="13.140625" style="209" customWidth="1"/>
    <col min="11017" max="11017" width="13" style="209" customWidth="1"/>
    <col min="11018" max="11018" width="12.5703125" style="209" customWidth="1"/>
    <col min="11019" max="11019" width="14.5703125" style="209" customWidth="1"/>
    <col min="11020" max="11020" width="9.85546875" style="209" customWidth="1"/>
    <col min="11021" max="11021" width="13.7109375" style="209" customWidth="1"/>
    <col min="11022" max="11022" width="13.42578125" style="209" customWidth="1"/>
    <col min="11023" max="11023" width="15.140625" style="209" customWidth="1"/>
    <col min="11024" max="11264" width="9.140625" style="209"/>
    <col min="11265" max="11265" width="4.140625" style="209" customWidth="1"/>
    <col min="11266" max="11266" width="7.28515625" style="209" customWidth="1"/>
    <col min="11267" max="11267" width="0" style="209" hidden="1" customWidth="1"/>
    <col min="11268" max="11268" width="61.7109375" style="209" customWidth="1"/>
    <col min="11269" max="11269" width="14" style="209" customWidth="1"/>
    <col min="11270" max="11270" width="13.28515625" style="209" customWidth="1"/>
    <col min="11271" max="11271" width="14.140625" style="209" customWidth="1"/>
    <col min="11272" max="11272" width="13.140625" style="209" customWidth="1"/>
    <col min="11273" max="11273" width="13" style="209" customWidth="1"/>
    <col min="11274" max="11274" width="12.5703125" style="209" customWidth="1"/>
    <col min="11275" max="11275" width="14.5703125" style="209" customWidth="1"/>
    <col min="11276" max="11276" width="9.85546875" style="209" customWidth="1"/>
    <col min="11277" max="11277" width="13.7109375" style="209" customWidth="1"/>
    <col min="11278" max="11278" width="13.42578125" style="209" customWidth="1"/>
    <col min="11279" max="11279" width="15.140625" style="209" customWidth="1"/>
    <col min="11280" max="11520" width="9.140625" style="209"/>
    <col min="11521" max="11521" width="4.140625" style="209" customWidth="1"/>
    <col min="11522" max="11522" width="7.28515625" style="209" customWidth="1"/>
    <col min="11523" max="11523" width="0" style="209" hidden="1" customWidth="1"/>
    <col min="11524" max="11524" width="61.7109375" style="209" customWidth="1"/>
    <col min="11525" max="11525" width="14" style="209" customWidth="1"/>
    <col min="11526" max="11526" width="13.28515625" style="209" customWidth="1"/>
    <col min="11527" max="11527" width="14.140625" style="209" customWidth="1"/>
    <col min="11528" max="11528" width="13.140625" style="209" customWidth="1"/>
    <col min="11529" max="11529" width="13" style="209" customWidth="1"/>
    <col min="11530" max="11530" width="12.5703125" style="209" customWidth="1"/>
    <col min="11531" max="11531" width="14.5703125" style="209" customWidth="1"/>
    <col min="11532" max="11532" width="9.85546875" style="209" customWidth="1"/>
    <col min="11533" max="11533" width="13.7109375" style="209" customWidth="1"/>
    <col min="11534" max="11534" width="13.42578125" style="209" customWidth="1"/>
    <col min="11535" max="11535" width="15.140625" style="209" customWidth="1"/>
    <col min="11536" max="11776" width="9.140625" style="209"/>
    <col min="11777" max="11777" width="4.140625" style="209" customWidth="1"/>
    <col min="11778" max="11778" width="7.28515625" style="209" customWidth="1"/>
    <col min="11779" max="11779" width="0" style="209" hidden="1" customWidth="1"/>
    <col min="11780" max="11780" width="61.7109375" style="209" customWidth="1"/>
    <col min="11781" max="11781" width="14" style="209" customWidth="1"/>
    <col min="11782" max="11782" width="13.28515625" style="209" customWidth="1"/>
    <col min="11783" max="11783" width="14.140625" style="209" customWidth="1"/>
    <col min="11784" max="11784" width="13.140625" style="209" customWidth="1"/>
    <col min="11785" max="11785" width="13" style="209" customWidth="1"/>
    <col min="11786" max="11786" width="12.5703125" style="209" customWidth="1"/>
    <col min="11787" max="11787" width="14.5703125" style="209" customWidth="1"/>
    <col min="11788" max="11788" width="9.85546875" style="209" customWidth="1"/>
    <col min="11789" max="11789" width="13.7109375" style="209" customWidth="1"/>
    <col min="11790" max="11790" width="13.42578125" style="209" customWidth="1"/>
    <col min="11791" max="11791" width="15.140625" style="209" customWidth="1"/>
    <col min="11792" max="12032" width="9.140625" style="209"/>
    <col min="12033" max="12033" width="4.140625" style="209" customWidth="1"/>
    <col min="12034" max="12034" width="7.28515625" style="209" customWidth="1"/>
    <col min="12035" max="12035" width="0" style="209" hidden="1" customWidth="1"/>
    <col min="12036" max="12036" width="61.7109375" style="209" customWidth="1"/>
    <col min="12037" max="12037" width="14" style="209" customWidth="1"/>
    <col min="12038" max="12038" width="13.28515625" style="209" customWidth="1"/>
    <col min="12039" max="12039" width="14.140625" style="209" customWidth="1"/>
    <col min="12040" max="12040" width="13.140625" style="209" customWidth="1"/>
    <col min="12041" max="12041" width="13" style="209" customWidth="1"/>
    <col min="12042" max="12042" width="12.5703125" style="209" customWidth="1"/>
    <col min="12043" max="12043" width="14.5703125" style="209" customWidth="1"/>
    <col min="12044" max="12044" width="9.85546875" style="209" customWidth="1"/>
    <col min="12045" max="12045" width="13.7109375" style="209" customWidth="1"/>
    <col min="12046" max="12046" width="13.42578125" style="209" customWidth="1"/>
    <col min="12047" max="12047" width="15.140625" style="209" customWidth="1"/>
    <col min="12048" max="12288" width="9.140625" style="209"/>
    <col min="12289" max="12289" width="4.140625" style="209" customWidth="1"/>
    <col min="12290" max="12290" width="7.28515625" style="209" customWidth="1"/>
    <col min="12291" max="12291" width="0" style="209" hidden="1" customWidth="1"/>
    <col min="12292" max="12292" width="61.7109375" style="209" customWidth="1"/>
    <col min="12293" max="12293" width="14" style="209" customWidth="1"/>
    <col min="12294" max="12294" width="13.28515625" style="209" customWidth="1"/>
    <col min="12295" max="12295" width="14.140625" style="209" customWidth="1"/>
    <col min="12296" max="12296" width="13.140625" style="209" customWidth="1"/>
    <col min="12297" max="12297" width="13" style="209" customWidth="1"/>
    <col min="12298" max="12298" width="12.5703125" style="209" customWidth="1"/>
    <col min="12299" max="12299" width="14.5703125" style="209" customWidth="1"/>
    <col min="12300" max="12300" width="9.85546875" style="209" customWidth="1"/>
    <col min="12301" max="12301" width="13.7109375" style="209" customWidth="1"/>
    <col min="12302" max="12302" width="13.42578125" style="209" customWidth="1"/>
    <col min="12303" max="12303" width="15.140625" style="209" customWidth="1"/>
    <col min="12304" max="12544" width="9.140625" style="209"/>
    <col min="12545" max="12545" width="4.140625" style="209" customWidth="1"/>
    <col min="12546" max="12546" width="7.28515625" style="209" customWidth="1"/>
    <col min="12547" max="12547" width="0" style="209" hidden="1" customWidth="1"/>
    <col min="12548" max="12548" width="61.7109375" style="209" customWidth="1"/>
    <col min="12549" max="12549" width="14" style="209" customWidth="1"/>
    <col min="12550" max="12550" width="13.28515625" style="209" customWidth="1"/>
    <col min="12551" max="12551" width="14.140625" style="209" customWidth="1"/>
    <col min="12552" max="12552" width="13.140625" style="209" customWidth="1"/>
    <col min="12553" max="12553" width="13" style="209" customWidth="1"/>
    <col min="12554" max="12554" width="12.5703125" style="209" customWidth="1"/>
    <col min="12555" max="12555" width="14.5703125" style="209" customWidth="1"/>
    <col min="12556" max="12556" width="9.85546875" style="209" customWidth="1"/>
    <col min="12557" max="12557" width="13.7109375" style="209" customWidth="1"/>
    <col min="12558" max="12558" width="13.42578125" style="209" customWidth="1"/>
    <col min="12559" max="12559" width="15.140625" style="209" customWidth="1"/>
    <col min="12560" max="12800" width="9.140625" style="209"/>
    <col min="12801" max="12801" width="4.140625" style="209" customWidth="1"/>
    <col min="12802" max="12802" width="7.28515625" style="209" customWidth="1"/>
    <col min="12803" max="12803" width="0" style="209" hidden="1" customWidth="1"/>
    <col min="12804" max="12804" width="61.7109375" style="209" customWidth="1"/>
    <col min="12805" max="12805" width="14" style="209" customWidth="1"/>
    <col min="12806" max="12806" width="13.28515625" style="209" customWidth="1"/>
    <col min="12807" max="12807" width="14.140625" style="209" customWidth="1"/>
    <col min="12808" max="12808" width="13.140625" style="209" customWidth="1"/>
    <col min="12809" max="12809" width="13" style="209" customWidth="1"/>
    <col min="12810" max="12810" width="12.5703125" style="209" customWidth="1"/>
    <col min="12811" max="12811" width="14.5703125" style="209" customWidth="1"/>
    <col min="12812" max="12812" width="9.85546875" style="209" customWidth="1"/>
    <col min="12813" max="12813" width="13.7109375" style="209" customWidth="1"/>
    <col min="12814" max="12814" width="13.42578125" style="209" customWidth="1"/>
    <col min="12815" max="12815" width="15.140625" style="209" customWidth="1"/>
    <col min="12816" max="13056" width="9.140625" style="209"/>
    <col min="13057" max="13057" width="4.140625" style="209" customWidth="1"/>
    <col min="13058" max="13058" width="7.28515625" style="209" customWidth="1"/>
    <col min="13059" max="13059" width="0" style="209" hidden="1" customWidth="1"/>
    <col min="13060" max="13060" width="61.7109375" style="209" customWidth="1"/>
    <col min="13061" max="13061" width="14" style="209" customWidth="1"/>
    <col min="13062" max="13062" width="13.28515625" style="209" customWidth="1"/>
    <col min="13063" max="13063" width="14.140625" style="209" customWidth="1"/>
    <col min="13064" max="13064" width="13.140625" style="209" customWidth="1"/>
    <col min="13065" max="13065" width="13" style="209" customWidth="1"/>
    <col min="13066" max="13066" width="12.5703125" style="209" customWidth="1"/>
    <col min="13067" max="13067" width="14.5703125" style="209" customWidth="1"/>
    <col min="13068" max="13068" width="9.85546875" style="209" customWidth="1"/>
    <col min="13069" max="13069" width="13.7109375" style="209" customWidth="1"/>
    <col min="13070" max="13070" width="13.42578125" style="209" customWidth="1"/>
    <col min="13071" max="13071" width="15.140625" style="209" customWidth="1"/>
    <col min="13072" max="13312" width="9.140625" style="209"/>
    <col min="13313" max="13313" width="4.140625" style="209" customWidth="1"/>
    <col min="13314" max="13314" width="7.28515625" style="209" customWidth="1"/>
    <col min="13315" max="13315" width="0" style="209" hidden="1" customWidth="1"/>
    <col min="13316" max="13316" width="61.7109375" style="209" customWidth="1"/>
    <col min="13317" max="13317" width="14" style="209" customWidth="1"/>
    <col min="13318" max="13318" width="13.28515625" style="209" customWidth="1"/>
    <col min="13319" max="13319" width="14.140625" style="209" customWidth="1"/>
    <col min="13320" max="13320" width="13.140625" style="209" customWidth="1"/>
    <col min="13321" max="13321" width="13" style="209" customWidth="1"/>
    <col min="13322" max="13322" width="12.5703125" style="209" customWidth="1"/>
    <col min="13323" max="13323" width="14.5703125" style="209" customWidth="1"/>
    <col min="13324" max="13324" width="9.85546875" style="209" customWidth="1"/>
    <col min="13325" max="13325" width="13.7109375" style="209" customWidth="1"/>
    <col min="13326" max="13326" width="13.42578125" style="209" customWidth="1"/>
    <col min="13327" max="13327" width="15.140625" style="209" customWidth="1"/>
    <col min="13328" max="13568" width="9.140625" style="209"/>
    <col min="13569" max="13569" width="4.140625" style="209" customWidth="1"/>
    <col min="13570" max="13570" width="7.28515625" style="209" customWidth="1"/>
    <col min="13571" max="13571" width="0" style="209" hidden="1" customWidth="1"/>
    <col min="13572" max="13572" width="61.7109375" style="209" customWidth="1"/>
    <col min="13573" max="13573" width="14" style="209" customWidth="1"/>
    <col min="13574" max="13574" width="13.28515625" style="209" customWidth="1"/>
    <col min="13575" max="13575" width="14.140625" style="209" customWidth="1"/>
    <col min="13576" max="13576" width="13.140625" style="209" customWidth="1"/>
    <col min="13577" max="13577" width="13" style="209" customWidth="1"/>
    <col min="13578" max="13578" width="12.5703125" style="209" customWidth="1"/>
    <col min="13579" max="13579" width="14.5703125" style="209" customWidth="1"/>
    <col min="13580" max="13580" width="9.85546875" style="209" customWidth="1"/>
    <col min="13581" max="13581" width="13.7109375" style="209" customWidth="1"/>
    <col min="13582" max="13582" width="13.42578125" style="209" customWidth="1"/>
    <col min="13583" max="13583" width="15.140625" style="209" customWidth="1"/>
    <col min="13584" max="13824" width="9.140625" style="209"/>
    <col min="13825" max="13825" width="4.140625" style="209" customWidth="1"/>
    <col min="13826" max="13826" width="7.28515625" style="209" customWidth="1"/>
    <col min="13827" max="13827" width="0" style="209" hidden="1" customWidth="1"/>
    <col min="13828" max="13828" width="61.7109375" style="209" customWidth="1"/>
    <col min="13829" max="13829" width="14" style="209" customWidth="1"/>
    <col min="13830" max="13830" width="13.28515625" style="209" customWidth="1"/>
    <col min="13831" max="13831" width="14.140625" style="209" customWidth="1"/>
    <col min="13832" max="13832" width="13.140625" style="209" customWidth="1"/>
    <col min="13833" max="13833" width="13" style="209" customWidth="1"/>
    <col min="13834" max="13834" width="12.5703125" style="209" customWidth="1"/>
    <col min="13835" max="13835" width="14.5703125" style="209" customWidth="1"/>
    <col min="13836" max="13836" width="9.85546875" style="209" customWidth="1"/>
    <col min="13837" max="13837" width="13.7109375" style="209" customWidth="1"/>
    <col min="13838" max="13838" width="13.42578125" style="209" customWidth="1"/>
    <col min="13839" max="13839" width="15.140625" style="209" customWidth="1"/>
    <col min="13840" max="14080" width="9.140625" style="209"/>
    <col min="14081" max="14081" width="4.140625" style="209" customWidth="1"/>
    <col min="14082" max="14082" width="7.28515625" style="209" customWidth="1"/>
    <col min="14083" max="14083" width="0" style="209" hidden="1" customWidth="1"/>
    <col min="14084" max="14084" width="61.7109375" style="209" customWidth="1"/>
    <col min="14085" max="14085" width="14" style="209" customWidth="1"/>
    <col min="14086" max="14086" width="13.28515625" style="209" customWidth="1"/>
    <col min="14087" max="14087" width="14.140625" style="209" customWidth="1"/>
    <col min="14088" max="14088" width="13.140625" style="209" customWidth="1"/>
    <col min="14089" max="14089" width="13" style="209" customWidth="1"/>
    <col min="14090" max="14090" width="12.5703125" style="209" customWidth="1"/>
    <col min="14091" max="14091" width="14.5703125" style="209" customWidth="1"/>
    <col min="14092" max="14092" width="9.85546875" style="209" customWidth="1"/>
    <col min="14093" max="14093" width="13.7109375" style="209" customWidth="1"/>
    <col min="14094" max="14094" width="13.42578125" style="209" customWidth="1"/>
    <col min="14095" max="14095" width="15.140625" style="209" customWidth="1"/>
    <col min="14096" max="14336" width="9.140625" style="209"/>
    <col min="14337" max="14337" width="4.140625" style="209" customWidth="1"/>
    <col min="14338" max="14338" width="7.28515625" style="209" customWidth="1"/>
    <col min="14339" max="14339" width="0" style="209" hidden="1" customWidth="1"/>
    <col min="14340" max="14340" width="61.7109375" style="209" customWidth="1"/>
    <col min="14341" max="14341" width="14" style="209" customWidth="1"/>
    <col min="14342" max="14342" width="13.28515625" style="209" customWidth="1"/>
    <col min="14343" max="14343" width="14.140625" style="209" customWidth="1"/>
    <col min="14344" max="14344" width="13.140625" style="209" customWidth="1"/>
    <col min="14345" max="14345" width="13" style="209" customWidth="1"/>
    <col min="14346" max="14346" width="12.5703125" style="209" customWidth="1"/>
    <col min="14347" max="14347" width="14.5703125" style="209" customWidth="1"/>
    <col min="14348" max="14348" width="9.85546875" style="209" customWidth="1"/>
    <col min="14349" max="14349" width="13.7109375" style="209" customWidth="1"/>
    <col min="14350" max="14350" width="13.42578125" style="209" customWidth="1"/>
    <col min="14351" max="14351" width="15.140625" style="209" customWidth="1"/>
    <col min="14352" max="14592" width="9.140625" style="209"/>
    <col min="14593" max="14593" width="4.140625" style="209" customWidth="1"/>
    <col min="14594" max="14594" width="7.28515625" style="209" customWidth="1"/>
    <col min="14595" max="14595" width="0" style="209" hidden="1" customWidth="1"/>
    <col min="14596" max="14596" width="61.7109375" style="209" customWidth="1"/>
    <col min="14597" max="14597" width="14" style="209" customWidth="1"/>
    <col min="14598" max="14598" width="13.28515625" style="209" customWidth="1"/>
    <col min="14599" max="14599" width="14.140625" style="209" customWidth="1"/>
    <col min="14600" max="14600" width="13.140625" style="209" customWidth="1"/>
    <col min="14601" max="14601" width="13" style="209" customWidth="1"/>
    <col min="14602" max="14602" width="12.5703125" style="209" customWidth="1"/>
    <col min="14603" max="14603" width="14.5703125" style="209" customWidth="1"/>
    <col min="14604" max="14604" width="9.85546875" style="209" customWidth="1"/>
    <col min="14605" max="14605" width="13.7109375" style="209" customWidth="1"/>
    <col min="14606" max="14606" width="13.42578125" style="209" customWidth="1"/>
    <col min="14607" max="14607" width="15.140625" style="209" customWidth="1"/>
    <col min="14608" max="14848" width="9.140625" style="209"/>
    <col min="14849" max="14849" width="4.140625" style="209" customWidth="1"/>
    <col min="14850" max="14850" width="7.28515625" style="209" customWidth="1"/>
    <col min="14851" max="14851" width="0" style="209" hidden="1" customWidth="1"/>
    <col min="14852" max="14852" width="61.7109375" style="209" customWidth="1"/>
    <col min="14853" max="14853" width="14" style="209" customWidth="1"/>
    <col min="14854" max="14854" width="13.28515625" style="209" customWidth="1"/>
    <col min="14855" max="14855" width="14.140625" style="209" customWidth="1"/>
    <col min="14856" max="14856" width="13.140625" style="209" customWidth="1"/>
    <col min="14857" max="14857" width="13" style="209" customWidth="1"/>
    <col min="14858" max="14858" width="12.5703125" style="209" customWidth="1"/>
    <col min="14859" max="14859" width="14.5703125" style="209" customWidth="1"/>
    <col min="14860" max="14860" width="9.85546875" style="209" customWidth="1"/>
    <col min="14861" max="14861" width="13.7109375" style="209" customWidth="1"/>
    <col min="14862" max="14862" width="13.42578125" style="209" customWidth="1"/>
    <col min="14863" max="14863" width="15.140625" style="209" customWidth="1"/>
    <col min="14864" max="15104" width="9.140625" style="209"/>
    <col min="15105" max="15105" width="4.140625" style="209" customWidth="1"/>
    <col min="15106" max="15106" width="7.28515625" style="209" customWidth="1"/>
    <col min="15107" max="15107" width="0" style="209" hidden="1" customWidth="1"/>
    <col min="15108" max="15108" width="61.7109375" style="209" customWidth="1"/>
    <col min="15109" max="15109" width="14" style="209" customWidth="1"/>
    <col min="15110" max="15110" width="13.28515625" style="209" customWidth="1"/>
    <col min="15111" max="15111" width="14.140625" style="209" customWidth="1"/>
    <col min="15112" max="15112" width="13.140625" style="209" customWidth="1"/>
    <col min="15113" max="15113" width="13" style="209" customWidth="1"/>
    <col min="15114" max="15114" width="12.5703125" style="209" customWidth="1"/>
    <col min="15115" max="15115" width="14.5703125" style="209" customWidth="1"/>
    <col min="15116" max="15116" width="9.85546875" style="209" customWidth="1"/>
    <col min="15117" max="15117" width="13.7109375" style="209" customWidth="1"/>
    <col min="15118" max="15118" width="13.42578125" style="209" customWidth="1"/>
    <col min="15119" max="15119" width="15.140625" style="209" customWidth="1"/>
    <col min="15120" max="15360" width="9.140625" style="209"/>
    <col min="15361" max="15361" width="4.140625" style="209" customWidth="1"/>
    <col min="15362" max="15362" width="7.28515625" style="209" customWidth="1"/>
    <col min="15363" max="15363" width="0" style="209" hidden="1" customWidth="1"/>
    <col min="15364" max="15364" width="61.7109375" style="209" customWidth="1"/>
    <col min="15365" max="15365" width="14" style="209" customWidth="1"/>
    <col min="15366" max="15366" width="13.28515625" style="209" customWidth="1"/>
    <col min="15367" max="15367" width="14.140625" style="209" customWidth="1"/>
    <col min="15368" max="15368" width="13.140625" style="209" customWidth="1"/>
    <col min="15369" max="15369" width="13" style="209" customWidth="1"/>
    <col min="15370" max="15370" width="12.5703125" style="209" customWidth="1"/>
    <col min="15371" max="15371" width="14.5703125" style="209" customWidth="1"/>
    <col min="15372" max="15372" width="9.85546875" style="209" customWidth="1"/>
    <col min="15373" max="15373" width="13.7109375" style="209" customWidth="1"/>
    <col min="15374" max="15374" width="13.42578125" style="209" customWidth="1"/>
    <col min="15375" max="15375" width="15.140625" style="209" customWidth="1"/>
    <col min="15376" max="15616" width="9.140625" style="209"/>
    <col min="15617" max="15617" width="4.140625" style="209" customWidth="1"/>
    <col min="15618" max="15618" width="7.28515625" style="209" customWidth="1"/>
    <col min="15619" max="15619" width="0" style="209" hidden="1" customWidth="1"/>
    <col min="15620" max="15620" width="61.7109375" style="209" customWidth="1"/>
    <col min="15621" max="15621" width="14" style="209" customWidth="1"/>
    <col min="15622" max="15622" width="13.28515625" style="209" customWidth="1"/>
    <col min="15623" max="15623" width="14.140625" style="209" customWidth="1"/>
    <col min="15624" max="15624" width="13.140625" style="209" customWidth="1"/>
    <col min="15625" max="15625" width="13" style="209" customWidth="1"/>
    <col min="15626" max="15626" width="12.5703125" style="209" customWidth="1"/>
    <col min="15627" max="15627" width="14.5703125" style="209" customWidth="1"/>
    <col min="15628" max="15628" width="9.85546875" style="209" customWidth="1"/>
    <col min="15629" max="15629" width="13.7109375" style="209" customWidth="1"/>
    <col min="15630" max="15630" width="13.42578125" style="209" customWidth="1"/>
    <col min="15631" max="15631" width="15.140625" style="209" customWidth="1"/>
    <col min="15632" max="15872" width="9.140625" style="209"/>
    <col min="15873" max="15873" width="4.140625" style="209" customWidth="1"/>
    <col min="15874" max="15874" width="7.28515625" style="209" customWidth="1"/>
    <col min="15875" max="15875" width="0" style="209" hidden="1" customWidth="1"/>
    <col min="15876" max="15876" width="61.7109375" style="209" customWidth="1"/>
    <col min="15877" max="15877" width="14" style="209" customWidth="1"/>
    <col min="15878" max="15878" width="13.28515625" style="209" customWidth="1"/>
    <col min="15879" max="15879" width="14.140625" style="209" customWidth="1"/>
    <col min="15880" max="15880" width="13.140625" style="209" customWidth="1"/>
    <col min="15881" max="15881" width="13" style="209" customWidth="1"/>
    <col min="15882" max="15882" width="12.5703125" style="209" customWidth="1"/>
    <col min="15883" max="15883" width="14.5703125" style="209" customWidth="1"/>
    <col min="15884" max="15884" width="9.85546875" style="209" customWidth="1"/>
    <col min="15885" max="15885" width="13.7109375" style="209" customWidth="1"/>
    <col min="15886" max="15886" width="13.42578125" style="209" customWidth="1"/>
    <col min="15887" max="15887" width="15.140625" style="209" customWidth="1"/>
    <col min="15888" max="16128" width="9.140625" style="209"/>
    <col min="16129" max="16129" width="4.140625" style="209" customWidth="1"/>
    <col min="16130" max="16130" width="7.28515625" style="209" customWidth="1"/>
    <col min="16131" max="16131" width="0" style="209" hidden="1" customWidth="1"/>
    <col min="16132" max="16132" width="61.7109375" style="209" customWidth="1"/>
    <col min="16133" max="16133" width="14" style="209" customWidth="1"/>
    <col min="16134" max="16134" width="13.28515625" style="209" customWidth="1"/>
    <col min="16135" max="16135" width="14.140625" style="209" customWidth="1"/>
    <col min="16136" max="16136" width="13.140625" style="209" customWidth="1"/>
    <col min="16137" max="16137" width="13" style="209" customWidth="1"/>
    <col min="16138" max="16138" width="12.5703125" style="209" customWidth="1"/>
    <col min="16139" max="16139" width="14.5703125" style="209" customWidth="1"/>
    <col min="16140" max="16140" width="9.85546875" style="209" customWidth="1"/>
    <col min="16141" max="16141" width="13.7109375" style="209" customWidth="1"/>
    <col min="16142" max="16142" width="13.42578125" style="209" customWidth="1"/>
    <col min="16143" max="16143" width="15.140625" style="209" customWidth="1"/>
    <col min="16144" max="16384" width="9.140625" style="209"/>
  </cols>
  <sheetData>
    <row r="1" spans="1:15" ht="12" customHeight="1" x14ac:dyDescent="0.25">
      <c r="A1" s="203"/>
      <c r="B1" s="203"/>
      <c r="C1" s="204"/>
      <c r="D1" s="205"/>
      <c r="E1" s="205"/>
      <c r="F1" s="205"/>
      <c r="G1" s="206"/>
      <c r="H1" s="206"/>
      <c r="I1" s="206"/>
      <c r="J1" s="206"/>
      <c r="K1" s="206"/>
      <c r="L1" s="207" t="s">
        <v>54</v>
      </c>
      <c r="M1" s="208"/>
    </row>
    <row r="2" spans="1:15" ht="12" customHeight="1" x14ac:dyDescent="0.25">
      <c r="A2" s="203"/>
      <c r="B2" s="203"/>
      <c r="C2" s="204"/>
      <c r="D2" s="205"/>
      <c r="E2" s="205"/>
      <c r="F2" s="205"/>
      <c r="G2" s="206"/>
      <c r="H2" s="206"/>
      <c r="I2" s="206"/>
      <c r="J2" s="206"/>
      <c r="K2" s="206"/>
      <c r="L2" s="3" t="s">
        <v>286</v>
      </c>
      <c r="M2" s="208"/>
    </row>
    <row r="3" spans="1:15" ht="12" customHeight="1" x14ac:dyDescent="0.25">
      <c r="A3" s="203"/>
      <c r="B3" s="203"/>
      <c r="C3" s="204"/>
      <c r="D3" s="205"/>
      <c r="E3" s="205"/>
      <c r="F3" s="205"/>
      <c r="G3" s="206"/>
      <c r="H3" s="206"/>
      <c r="I3" s="206"/>
      <c r="J3" s="206"/>
      <c r="K3" s="206"/>
      <c r="L3" s="3" t="s">
        <v>0</v>
      </c>
      <c r="M3" s="208"/>
    </row>
    <row r="4" spans="1:15" ht="12" customHeight="1" x14ac:dyDescent="0.25">
      <c r="A4" s="203"/>
      <c r="B4" s="203"/>
      <c r="C4" s="204"/>
      <c r="D4" s="205"/>
      <c r="E4" s="205"/>
      <c r="F4" s="205"/>
      <c r="G4" s="206"/>
      <c r="H4" s="206"/>
      <c r="I4" s="206"/>
      <c r="J4" s="206"/>
      <c r="K4" s="206"/>
      <c r="L4" s="3" t="s">
        <v>287</v>
      </c>
      <c r="M4" s="208"/>
    </row>
    <row r="5" spans="1:15" ht="14.25" customHeight="1" x14ac:dyDescent="0.25">
      <c r="A5" s="210" t="s">
        <v>288</v>
      </c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1"/>
      <c r="N5" s="212"/>
      <c r="O5" s="212"/>
    </row>
    <row r="6" spans="1:15" ht="14.25" customHeight="1" x14ac:dyDescent="0.25">
      <c r="A6" s="210"/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1"/>
      <c r="N6" s="212"/>
      <c r="O6" s="212"/>
    </row>
    <row r="7" spans="1:15" ht="11.25" customHeight="1" x14ac:dyDescent="0.25">
      <c r="A7" s="203"/>
      <c r="B7" s="203"/>
      <c r="C7" s="204"/>
      <c r="D7" s="208"/>
      <c r="E7" s="208"/>
      <c r="F7" s="208"/>
      <c r="G7" s="206"/>
      <c r="H7" s="206"/>
      <c r="I7" s="206"/>
      <c r="J7" s="206"/>
      <c r="K7" s="206"/>
      <c r="L7" s="206" t="s">
        <v>2</v>
      </c>
      <c r="M7" s="208"/>
    </row>
    <row r="8" spans="1:15" s="222" customFormat="1" ht="12" customHeight="1" x14ac:dyDescent="0.25">
      <c r="A8" s="213"/>
      <c r="B8" s="213"/>
      <c r="C8" s="214"/>
      <c r="D8" s="215"/>
      <c r="E8" s="215"/>
      <c r="F8" s="215"/>
      <c r="G8" s="213"/>
      <c r="H8" s="216" t="s">
        <v>289</v>
      </c>
      <c r="I8" s="217"/>
      <c r="J8" s="218"/>
      <c r="K8" s="219"/>
      <c r="L8" s="220" t="s">
        <v>290</v>
      </c>
      <c r="M8" s="221" t="s">
        <v>291</v>
      </c>
    </row>
    <row r="9" spans="1:15" s="222" customFormat="1" ht="12.75" customHeight="1" x14ac:dyDescent="0.25">
      <c r="A9" s="223"/>
      <c r="B9" s="224"/>
      <c r="C9" s="225"/>
      <c r="D9" s="226"/>
      <c r="E9" s="226"/>
      <c r="F9" s="226"/>
      <c r="G9" s="224" t="s">
        <v>292</v>
      </c>
      <c r="H9" s="227" t="s">
        <v>293</v>
      </c>
      <c r="I9" s="228"/>
      <c r="J9" s="228" t="s">
        <v>294</v>
      </c>
      <c r="K9" s="229"/>
      <c r="L9" s="230" t="s">
        <v>295</v>
      </c>
      <c r="M9" s="231" t="s">
        <v>296</v>
      </c>
    </row>
    <row r="10" spans="1:15" s="222" customFormat="1" x14ac:dyDescent="0.25">
      <c r="A10" s="223" t="s">
        <v>297</v>
      </c>
      <c r="B10" s="224" t="s">
        <v>5</v>
      </c>
      <c r="C10" s="224" t="s">
        <v>6</v>
      </c>
      <c r="D10" s="226" t="s">
        <v>298</v>
      </c>
      <c r="E10" s="226" t="s">
        <v>9</v>
      </c>
      <c r="F10" s="226" t="s">
        <v>10</v>
      </c>
      <c r="G10" s="224" t="s">
        <v>299</v>
      </c>
      <c r="H10" s="227" t="s">
        <v>300</v>
      </c>
      <c r="I10" s="223"/>
      <c r="J10" s="232" t="s">
        <v>301</v>
      </c>
      <c r="K10" s="224" t="s">
        <v>301</v>
      </c>
      <c r="L10" s="233" t="s">
        <v>302</v>
      </c>
      <c r="M10" s="231" t="s">
        <v>303</v>
      </c>
    </row>
    <row r="11" spans="1:15" s="222" customFormat="1" x14ac:dyDescent="0.25">
      <c r="A11" s="223"/>
      <c r="B11" s="224"/>
      <c r="C11" s="225"/>
      <c r="D11" s="226"/>
      <c r="E11" s="226"/>
      <c r="F11" s="226"/>
      <c r="G11" s="224" t="s">
        <v>304</v>
      </c>
      <c r="H11" s="227">
        <v>2023</v>
      </c>
      <c r="I11" s="223" t="s">
        <v>301</v>
      </c>
      <c r="J11" s="224" t="s">
        <v>305</v>
      </c>
      <c r="K11" s="224" t="s">
        <v>306</v>
      </c>
      <c r="L11" s="230" t="s">
        <v>307</v>
      </c>
      <c r="M11" s="231" t="s">
        <v>308</v>
      </c>
    </row>
    <row r="12" spans="1:15" s="222" customFormat="1" x14ac:dyDescent="0.25">
      <c r="A12" s="223"/>
      <c r="B12" s="224"/>
      <c r="C12" s="225"/>
      <c r="D12" s="226"/>
      <c r="E12" s="226"/>
      <c r="F12" s="226"/>
      <c r="G12" s="224"/>
      <c r="H12" s="227" t="s">
        <v>309</v>
      </c>
      <c r="I12" s="223" t="s">
        <v>310</v>
      </c>
      <c r="J12" s="224" t="s">
        <v>311</v>
      </c>
      <c r="K12" s="224" t="s">
        <v>312</v>
      </c>
      <c r="L12" s="230" t="s">
        <v>313</v>
      </c>
      <c r="M12" s="231" t="s">
        <v>314</v>
      </c>
    </row>
    <row r="13" spans="1:15" s="222" customFormat="1" ht="9.75" customHeight="1" x14ac:dyDescent="0.25">
      <c r="A13" s="223"/>
      <c r="B13" s="224"/>
      <c r="C13" s="225"/>
      <c r="D13" s="226"/>
      <c r="E13" s="226"/>
      <c r="F13" s="226"/>
      <c r="G13" s="224"/>
      <c r="H13" s="227"/>
      <c r="I13" s="223"/>
      <c r="J13" s="224" t="s">
        <v>315</v>
      </c>
      <c r="K13" s="223" t="s">
        <v>316</v>
      </c>
      <c r="L13" s="230" t="s">
        <v>317</v>
      </c>
      <c r="M13" s="231" t="s">
        <v>318</v>
      </c>
    </row>
    <row r="14" spans="1:15" s="222" customFormat="1" ht="9.75" customHeight="1" x14ac:dyDescent="0.25">
      <c r="A14" s="234"/>
      <c r="B14" s="235"/>
      <c r="C14" s="236"/>
      <c r="D14" s="237"/>
      <c r="E14" s="237"/>
      <c r="F14" s="237"/>
      <c r="G14" s="235"/>
      <c r="H14" s="227"/>
      <c r="I14" s="234"/>
      <c r="J14" s="235"/>
      <c r="K14" s="235"/>
      <c r="L14" s="230"/>
      <c r="M14" s="231" t="s">
        <v>319</v>
      </c>
    </row>
    <row r="15" spans="1:15" s="245" customFormat="1" ht="10.5" customHeight="1" x14ac:dyDescent="0.25">
      <c r="A15" s="238">
        <v>1</v>
      </c>
      <c r="B15" s="238">
        <v>2</v>
      </c>
      <c r="C15" s="239">
        <v>3</v>
      </c>
      <c r="D15" s="240">
        <v>3</v>
      </c>
      <c r="E15" s="240">
        <v>4</v>
      </c>
      <c r="F15" s="240">
        <v>5</v>
      </c>
      <c r="G15" s="239">
        <v>6</v>
      </c>
      <c r="H15" s="241">
        <v>7</v>
      </c>
      <c r="I15" s="239">
        <v>8</v>
      </c>
      <c r="J15" s="242">
        <v>9</v>
      </c>
      <c r="K15" s="243">
        <v>10</v>
      </c>
      <c r="L15" s="244">
        <v>11</v>
      </c>
      <c r="M15" s="239">
        <v>12</v>
      </c>
    </row>
    <row r="16" spans="1:15" s="586" customFormat="1" ht="27" customHeight="1" x14ac:dyDescent="0.25">
      <c r="A16" s="583"/>
      <c r="B16" s="583"/>
      <c r="C16" s="584"/>
      <c r="D16" s="583" t="s">
        <v>320</v>
      </c>
      <c r="E16" s="246">
        <v>108000</v>
      </c>
      <c r="F16" s="247">
        <v>0</v>
      </c>
      <c r="G16" s="248">
        <v>419559064.96000004</v>
      </c>
      <c r="H16" s="248">
        <v>231041664.96999997</v>
      </c>
      <c r="I16" s="248">
        <v>137930410.55000001</v>
      </c>
      <c r="J16" s="248">
        <v>48053383.600000001</v>
      </c>
      <c r="K16" s="248">
        <v>45057870.82</v>
      </c>
      <c r="L16" s="249">
        <v>29000</v>
      </c>
      <c r="M16" s="585" t="s">
        <v>321</v>
      </c>
      <c r="O16" s="587"/>
    </row>
    <row r="17" spans="1:15" ht="24" customHeight="1" x14ac:dyDescent="0.25">
      <c r="A17" s="250">
        <v>754</v>
      </c>
      <c r="B17" s="215"/>
      <c r="C17" s="251"/>
      <c r="D17" s="252" t="s">
        <v>322</v>
      </c>
      <c r="E17" s="253">
        <v>79000</v>
      </c>
      <c r="F17" s="254">
        <v>0</v>
      </c>
      <c r="G17" s="253">
        <v>173000</v>
      </c>
      <c r="H17" s="253">
        <v>173000</v>
      </c>
      <c r="I17" s="253">
        <v>94000</v>
      </c>
      <c r="J17" s="253">
        <v>79000</v>
      </c>
      <c r="K17" s="254">
        <v>0</v>
      </c>
      <c r="L17" s="254">
        <v>0</v>
      </c>
      <c r="M17" s="588" t="s">
        <v>321</v>
      </c>
    </row>
    <row r="18" spans="1:15" ht="24" customHeight="1" x14ac:dyDescent="0.25">
      <c r="A18" s="250"/>
      <c r="B18" s="215">
        <v>75411</v>
      </c>
      <c r="C18" s="251"/>
      <c r="D18" s="255" t="s">
        <v>152</v>
      </c>
      <c r="E18" s="253">
        <v>79000</v>
      </c>
      <c r="F18" s="254">
        <v>0</v>
      </c>
      <c r="G18" s="253">
        <v>79000</v>
      </c>
      <c r="H18" s="253">
        <v>79000</v>
      </c>
      <c r="I18" s="254">
        <v>0</v>
      </c>
      <c r="J18" s="253">
        <v>79000</v>
      </c>
      <c r="K18" s="254">
        <v>0</v>
      </c>
      <c r="L18" s="254">
        <v>0</v>
      </c>
      <c r="M18" s="588" t="s">
        <v>321</v>
      </c>
    </row>
    <row r="19" spans="1:15" ht="10.5" customHeight="1" x14ac:dyDescent="0.25">
      <c r="A19" s="256"/>
      <c r="B19" s="256"/>
      <c r="C19" s="256"/>
      <c r="D19" s="589" t="s">
        <v>323</v>
      </c>
      <c r="E19" s="257"/>
      <c r="F19" s="257"/>
      <c r="G19" s="258"/>
      <c r="H19" s="258"/>
      <c r="I19" s="258"/>
      <c r="J19" s="257"/>
      <c r="K19" s="257"/>
      <c r="L19" s="257"/>
      <c r="M19" s="590"/>
    </row>
    <row r="20" spans="1:15" ht="26.25" customHeight="1" x14ac:dyDescent="0.25">
      <c r="A20" s="259"/>
      <c r="B20" s="260" t="s">
        <v>324</v>
      </c>
      <c r="C20" s="259"/>
      <c r="D20" s="261" t="s">
        <v>325</v>
      </c>
      <c r="E20" s="262">
        <v>79000</v>
      </c>
      <c r="F20" s="262"/>
      <c r="G20" s="262">
        <v>79000</v>
      </c>
      <c r="H20" s="262">
        <v>79000</v>
      </c>
      <c r="I20" s="263" t="s">
        <v>326</v>
      </c>
      <c r="J20" s="262">
        <v>79000</v>
      </c>
      <c r="K20" s="263" t="s">
        <v>326</v>
      </c>
      <c r="L20" s="264">
        <v>0</v>
      </c>
      <c r="M20" s="591" t="s">
        <v>176</v>
      </c>
    </row>
    <row r="21" spans="1:15" ht="20.25" customHeight="1" x14ac:dyDescent="0.25">
      <c r="A21" s="265">
        <v>801</v>
      </c>
      <c r="B21" s="266"/>
      <c r="C21" s="267"/>
      <c r="D21" s="268" t="s">
        <v>327</v>
      </c>
      <c r="E21" s="269">
        <v>29000</v>
      </c>
      <c r="F21" s="270">
        <v>0</v>
      </c>
      <c r="G21" s="269">
        <v>63486068.890000001</v>
      </c>
      <c r="H21" s="269">
        <v>31399920.890000001</v>
      </c>
      <c r="I21" s="269">
        <v>22978402.890000001</v>
      </c>
      <c r="J21" s="269">
        <v>0</v>
      </c>
      <c r="K21" s="269">
        <v>8421518</v>
      </c>
      <c r="L21" s="271">
        <v>29000</v>
      </c>
      <c r="M21" s="585" t="s">
        <v>321</v>
      </c>
    </row>
    <row r="22" spans="1:15" ht="18" customHeight="1" x14ac:dyDescent="0.25">
      <c r="A22" s="266"/>
      <c r="B22" s="266">
        <v>80115</v>
      </c>
      <c r="C22" s="267"/>
      <c r="D22" s="272" t="s">
        <v>72</v>
      </c>
      <c r="E22" s="269">
        <v>29000</v>
      </c>
      <c r="F22" s="273">
        <v>0</v>
      </c>
      <c r="G22" s="274">
        <v>33755756.890000001</v>
      </c>
      <c r="H22" s="274">
        <v>15421046.890000001</v>
      </c>
      <c r="I22" s="274">
        <v>15421046.890000001</v>
      </c>
      <c r="J22" s="274">
        <v>0</v>
      </c>
      <c r="K22" s="274">
        <v>0</v>
      </c>
      <c r="L22" s="274">
        <v>29000</v>
      </c>
      <c r="M22" s="585" t="s">
        <v>321</v>
      </c>
    </row>
    <row r="23" spans="1:15" ht="11.25" customHeight="1" x14ac:dyDescent="0.25">
      <c r="A23" s="215"/>
      <c r="B23" s="215"/>
      <c r="C23" s="251"/>
      <c r="D23" s="589" t="s">
        <v>323</v>
      </c>
      <c r="E23" s="254"/>
      <c r="F23" s="275"/>
      <c r="G23" s="276"/>
      <c r="H23" s="276"/>
      <c r="I23" s="276"/>
      <c r="J23" s="276"/>
      <c r="K23" s="276"/>
      <c r="L23" s="276"/>
      <c r="M23" s="592"/>
    </row>
    <row r="24" spans="1:15" ht="22.5" customHeight="1" x14ac:dyDescent="0.25">
      <c r="A24" s="277"/>
      <c r="B24" s="278" t="s">
        <v>324</v>
      </c>
      <c r="C24" s="279"/>
      <c r="D24" s="261" t="s">
        <v>328</v>
      </c>
      <c r="E24" s="280">
        <v>29000</v>
      </c>
      <c r="F24" s="281"/>
      <c r="G24" s="282" t="s">
        <v>326</v>
      </c>
      <c r="H24" s="282" t="s">
        <v>326</v>
      </c>
      <c r="I24" s="282" t="s">
        <v>326</v>
      </c>
      <c r="J24" s="283" t="s">
        <v>326</v>
      </c>
      <c r="K24" s="283" t="s">
        <v>326</v>
      </c>
      <c r="L24" s="284">
        <v>29000</v>
      </c>
      <c r="M24" s="593" t="s">
        <v>329</v>
      </c>
    </row>
    <row r="25" spans="1:15" ht="24" customHeight="1" x14ac:dyDescent="0.25">
      <c r="A25" s="285"/>
      <c r="B25" s="209"/>
      <c r="C25" s="209"/>
      <c r="D25" s="209" t="s">
        <v>330</v>
      </c>
      <c r="G25" s="209"/>
      <c r="H25" s="209"/>
      <c r="I25" s="209"/>
      <c r="J25" s="209"/>
      <c r="K25" s="209"/>
      <c r="L25" s="209"/>
      <c r="M25" s="209"/>
    </row>
    <row r="26" spans="1:15" ht="24" customHeight="1" x14ac:dyDescent="0.25">
      <c r="A26" s="204"/>
      <c r="B26" s="203"/>
      <c r="C26" s="204"/>
      <c r="D26" s="286"/>
      <c r="E26" s="286"/>
      <c r="F26" s="286"/>
      <c r="G26" s="287"/>
      <c r="H26" s="287"/>
      <c r="I26" s="287"/>
      <c r="J26" s="287"/>
      <c r="K26" s="287"/>
      <c r="L26" s="287"/>
      <c r="M26" s="594"/>
    </row>
    <row r="27" spans="1:15" s="290" customFormat="1" x14ac:dyDescent="0.25">
      <c r="A27" s="288"/>
      <c r="B27" s="288"/>
      <c r="C27" s="222"/>
      <c r="D27" s="209"/>
      <c r="E27" s="209"/>
      <c r="F27" s="209"/>
      <c r="G27" s="289"/>
      <c r="H27" s="289"/>
      <c r="I27" s="289"/>
      <c r="J27" s="289"/>
      <c r="K27" s="289"/>
      <c r="L27" s="289"/>
      <c r="N27" s="209"/>
      <c r="O27" s="209"/>
    </row>
    <row r="28" spans="1:15" s="290" customFormat="1" x14ac:dyDescent="0.25">
      <c r="A28" s="288"/>
      <c r="B28" s="288"/>
      <c r="C28" s="222"/>
      <c r="D28" s="209"/>
      <c r="E28" s="209"/>
      <c r="F28" s="209"/>
      <c r="G28" s="289"/>
      <c r="H28" s="289"/>
      <c r="I28" s="289"/>
      <c r="J28" s="289"/>
      <c r="K28" s="289"/>
      <c r="L28" s="289"/>
      <c r="N28" s="209"/>
      <c r="O28" s="209"/>
    </row>
    <row r="29" spans="1:15" s="290" customFormat="1" x14ac:dyDescent="0.25">
      <c r="A29" s="288"/>
      <c r="B29" s="288"/>
      <c r="C29" s="222"/>
      <c r="D29" s="209"/>
      <c r="E29" s="209"/>
      <c r="F29" s="209"/>
      <c r="G29" s="289"/>
      <c r="H29" s="289"/>
      <c r="I29" s="289"/>
      <c r="J29" s="289"/>
      <c r="K29" s="289"/>
      <c r="L29" s="289"/>
      <c r="N29" s="209"/>
      <c r="O29" s="209"/>
    </row>
    <row r="30" spans="1:15" s="290" customFormat="1" x14ac:dyDescent="0.25">
      <c r="A30" s="288"/>
      <c r="B30" s="288"/>
      <c r="C30" s="222"/>
      <c r="D30" s="209"/>
      <c r="E30" s="209"/>
      <c r="F30" s="209"/>
      <c r="G30" s="289"/>
      <c r="H30" s="289"/>
      <c r="I30" s="289"/>
      <c r="J30" s="289"/>
      <c r="K30" s="289"/>
      <c r="L30" s="289"/>
      <c r="N30" s="209"/>
      <c r="O30" s="209"/>
    </row>
    <row r="31" spans="1:15" s="290" customFormat="1" x14ac:dyDescent="0.25">
      <c r="A31" s="288"/>
      <c r="B31" s="288"/>
      <c r="C31" s="222"/>
      <c r="D31" s="209"/>
      <c r="E31" s="209"/>
      <c r="F31" s="209"/>
      <c r="G31" s="289"/>
      <c r="H31" s="289"/>
      <c r="I31" s="289"/>
      <c r="J31" s="289"/>
      <c r="K31" s="289"/>
      <c r="L31" s="289"/>
      <c r="N31" s="209"/>
      <c r="O31" s="209"/>
    </row>
    <row r="32" spans="1:15" s="290" customFormat="1" x14ac:dyDescent="0.25">
      <c r="A32" s="288"/>
      <c r="B32" s="288"/>
      <c r="C32" s="222"/>
      <c r="D32" s="209"/>
      <c r="E32" s="209"/>
      <c r="F32" s="209"/>
      <c r="G32" s="289"/>
      <c r="H32" s="289"/>
      <c r="I32" s="289"/>
      <c r="J32" s="289"/>
      <c r="K32" s="289"/>
      <c r="L32" s="289"/>
      <c r="N32" s="209"/>
      <c r="O32" s="209"/>
    </row>
    <row r="33" spans="1:15" s="290" customFormat="1" x14ac:dyDescent="0.25">
      <c r="A33" s="288"/>
      <c r="B33" s="288"/>
      <c r="C33" s="222"/>
      <c r="D33" s="209"/>
      <c r="E33" s="209"/>
      <c r="F33" s="209"/>
      <c r="G33" s="289"/>
      <c r="H33" s="289"/>
      <c r="I33" s="289"/>
      <c r="J33" s="289"/>
      <c r="K33" s="289"/>
      <c r="L33" s="289"/>
      <c r="N33" s="209"/>
      <c r="O33" s="209"/>
    </row>
    <row r="34" spans="1:15" s="290" customFormat="1" x14ac:dyDescent="0.25">
      <c r="A34" s="288"/>
      <c r="B34" s="288"/>
      <c r="C34" s="222"/>
      <c r="D34" s="209"/>
      <c r="E34" s="209"/>
      <c r="F34" s="209"/>
      <c r="G34" s="289"/>
      <c r="H34" s="289"/>
      <c r="I34" s="289"/>
      <c r="J34" s="289"/>
      <c r="K34" s="289"/>
      <c r="L34" s="289"/>
      <c r="N34" s="209"/>
      <c r="O34" s="209"/>
    </row>
    <row r="35" spans="1:15" s="290" customFormat="1" x14ac:dyDescent="0.25">
      <c r="A35" s="288"/>
      <c r="B35" s="288"/>
      <c r="C35" s="222"/>
      <c r="D35" s="209"/>
      <c r="E35" s="209"/>
      <c r="F35" s="209"/>
      <c r="G35" s="289"/>
      <c r="H35" s="289"/>
      <c r="I35" s="289"/>
      <c r="J35" s="289"/>
      <c r="K35" s="289"/>
      <c r="L35" s="289"/>
      <c r="N35" s="209"/>
      <c r="O35" s="209"/>
    </row>
    <row r="36" spans="1:15" s="290" customFormat="1" x14ac:dyDescent="0.25">
      <c r="A36" s="288"/>
      <c r="B36" s="288"/>
      <c r="C36" s="222"/>
      <c r="D36" s="209"/>
      <c r="E36" s="209"/>
      <c r="F36" s="209"/>
      <c r="G36" s="289"/>
      <c r="H36" s="289"/>
      <c r="I36" s="289"/>
      <c r="J36" s="289"/>
      <c r="K36" s="289"/>
      <c r="L36" s="289"/>
      <c r="N36" s="209"/>
      <c r="O36" s="209"/>
    </row>
    <row r="37" spans="1:15" s="290" customFormat="1" x14ac:dyDescent="0.25">
      <c r="A37" s="288"/>
      <c r="B37" s="288"/>
      <c r="C37" s="222"/>
      <c r="D37" s="209"/>
      <c r="E37" s="209"/>
      <c r="F37" s="209"/>
      <c r="G37" s="289"/>
      <c r="H37" s="289"/>
      <c r="I37" s="289"/>
      <c r="J37" s="289"/>
      <c r="K37" s="289"/>
      <c r="L37" s="289"/>
      <c r="N37" s="209"/>
      <c r="O37" s="209"/>
    </row>
    <row r="38" spans="1:15" s="290" customFormat="1" x14ac:dyDescent="0.25">
      <c r="A38" s="288"/>
      <c r="B38" s="288"/>
      <c r="C38" s="222"/>
      <c r="D38" s="209"/>
      <c r="E38" s="209"/>
      <c r="F38" s="209"/>
      <c r="G38" s="289"/>
      <c r="H38" s="289"/>
      <c r="I38" s="289"/>
      <c r="J38" s="289"/>
      <c r="K38" s="289"/>
      <c r="L38" s="289"/>
      <c r="N38" s="209"/>
      <c r="O38" s="209"/>
    </row>
    <row r="39" spans="1:15" s="290" customFormat="1" x14ac:dyDescent="0.25">
      <c r="A39" s="288"/>
      <c r="B39" s="288"/>
      <c r="C39" s="222"/>
      <c r="D39" s="209"/>
      <c r="E39" s="209"/>
      <c r="F39" s="209"/>
      <c r="G39" s="289"/>
      <c r="H39" s="289"/>
      <c r="I39" s="289"/>
      <c r="J39" s="289"/>
      <c r="K39" s="289"/>
      <c r="L39" s="289"/>
      <c r="N39" s="209"/>
      <c r="O39" s="209"/>
    </row>
    <row r="40" spans="1:15" s="290" customFormat="1" x14ac:dyDescent="0.25">
      <c r="A40" s="288"/>
      <c r="B40" s="288"/>
      <c r="C40" s="222"/>
      <c r="D40" s="209"/>
      <c r="E40" s="209"/>
      <c r="F40" s="209"/>
      <c r="G40" s="289"/>
      <c r="H40" s="289"/>
      <c r="I40" s="289"/>
      <c r="J40" s="289"/>
      <c r="K40" s="289"/>
      <c r="L40" s="289"/>
      <c r="N40" s="209"/>
      <c r="O40" s="209"/>
    </row>
    <row r="41" spans="1:15" s="290" customFormat="1" x14ac:dyDescent="0.25">
      <c r="A41" s="288"/>
      <c r="B41" s="288"/>
      <c r="C41" s="222"/>
      <c r="D41" s="209"/>
      <c r="E41" s="209"/>
      <c r="F41" s="209"/>
      <c r="G41" s="289"/>
      <c r="H41" s="289"/>
      <c r="I41" s="289"/>
      <c r="J41" s="289"/>
      <c r="K41" s="289"/>
      <c r="L41" s="289"/>
      <c r="N41" s="209"/>
      <c r="O41" s="209"/>
    </row>
    <row r="42" spans="1:15" s="290" customFormat="1" x14ac:dyDescent="0.25">
      <c r="A42" s="288"/>
      <c r="B42" s="288"/>
      <c r="C42" s="222"/>
      <c r="D42" s="209"/>
      <c r="E42" s="209"/>
      <c r="F42" s="209"/>
      <c r="G42" s="289"/>
      <c r="H42" s="289"/>
      <c r="I42" s="289"/>
      <c r="J42" s="289"/>
      <c r="K42" s="289"/>
      <c r="L42" s="289"/>
      <c r="N42" s="209"/>
      <c r="O42" s="209"/>
    </row>
    <row r="43" spans="1:15" s="290" customFormat="1" x14ac:dyDescent="0.25">
      <c r="A43" s="288"/>
      <c r="B43" s="288"/>
      <c r="C43" s="222"/>
      <c r="D43" s="209"/>
      <c r="E43" s="209"/>
      <c r="F43" s="209"/>
      <c r="G43" s="289"/>
      <c r="H43" s="289"/>
      <c r="I43" s="289"/>
      <c r="J43" s="289"/>
      <c r="K43" s="289"/>
      <c r="L43" s="289"/>
      <c r="N43" s="209"/>
      <c r="O43" s="209"/>
    </row>
    <row r="44" spans="1:15" s="290" customFormat="1" x14ac:dyDescent="0.25">
      <c r="A44" s="288"/>
      <c r="B44" s="288"/>
      <c r="C44" s="222"/>
      <c r="D44" s="209"/>
      <c r="E44" s="209"/>
      <c r="F44" s="209"/>
      <c r="G44" s="289"/>
      <c r="H44" s="289"/>
      <c r="I44" s="289"/>
      <c r="J44" s="289"/>
      <c r="K44" s="289"/>
      <c r="L44" s="289"/>
      <c r="N44" s="209"/>
      <c r="O44" s="209"/>
    </row>
    <row r="45" spans="1:15" s="290" customFormat="1" x14ac:dyDescent="0.25">
      <c r="A45" s="288"/>
      <c r="B45" s="288"/>
      <c r="C45" s="222"/>
      <c r="D45" s="209"/>
      <c r="E45" s="209"/>
      <c r="F45" s="209"/>
      <c r="G45" s="289"/>
      <c r="H45" s="289"/>
      <c r="I45" s="289"/>
      <c r="J45" s="289"/>
      <c r="K45" s="289"/>
      <c r="L45" s="289"/>
      <c r="N45" s="209"/>
      <c r="O45" s="209"/>
    </row>
    <row r="46" spans="1:15" s="290" customFormat="1" x14ac:dyDescent="0.25">
      <c r="A46" s="288"/>
      <c r="B46" s="288"/>
      <c r="C46" s="222"/>
      <c r="D46" s="209"/>
      <c r="E46" s="209"/>
      <c r="F46" s="209"/>
      <c r="G46" s="289"/>
      <c r="H46" s="289"/>
      <c r="I46" s="289"/>
      <c r="J46" s="289"/>
      <c r="K46" s="289"/>
      <c r="L46" s="289"/>
      <c r="N46" s="209"/>
      <c r="O46" s="209"/>
    </row>
  </sheetData>
  <autoFilter ref="M1:M46" xr:uid="{9636CABB-8C21-4CB9-9B4C-3CA142F4896E}"/>
  <printOptions horizontalCentered="1"/>
  <pageMargins left="0.19685039370078741" right="0.19685039370078741" top="0.55118110236220474" bottom="0.55118110236220474" header="0.51181102362204722" footer="0.31496062992125984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E8304-1A35-48A6-9EB7-174F5E9F7D1F}">
  <sheetPr>
    <tabColor rgb="FFCCCC00"/>
  </sheetPr>
  <dimension ref="A1:BV21"/>
  <sheetViews>
    <sheetView zoomScale="130" zoomScaleNormal="130" workbookViewId="0">
      <selection activeCell="A20" sqref="A20:C20"/>
    </sheetView>
  </sheetViews>
  <sheetFormatPr defaultRowHeight="12.75" x14ac:dyDescent="0.2"/>
  <cols>
    <col min="1" max="1" width="4.28515625" style="595" customWidth="1"/>
    <col min="2" max="2" width="8.7109375" style="595" customWidth="1"/>
    <col min="3" max="3" width="5.5703125" style="595" customWidth="1"/>
    <col min="4" max="4" width="11.85546875" style="595" customWidth="1"/>
    <col min="5" max="5" width="12" style="595" customWidth="1"/>
    <col min="6" max="6" width="11.5703125" style="595" customWidth="1"/>
    <col min="7" max="7" width="14" style="595" customWidth="1"/>
    <col min="8" max="8" width="12.85546875" style="596" customWidth="1"/>
    <col min="9" max="9" width="10.5703125" style="596" customWidth="1"/>
    <col min="10" max="74" width="9.140625" style="596"/>
    <col min="75" max="256" width="9.140625" style="595"/>
    <col min="257" max="257" width="4.28515625" style="595" customWidth="1"/>
    <col min="258" max="258" width="8.7109375" style="595" customWidth="1"/>
    <col min="259" max="259" width="5.5703125" style="595" customWidth="1"/>
    <col min="260" max="260" width="11.85546875" style="595" customWidth="1"/>
    <col min="261" max="261" width="12" style="595" customWidth="1"/>
    <col min="262" max="262" width="11.5703125" style="595" customWidth="1"/>
    <col min="263" max="263" width="14" style="595" customWidth="1"/>
    <col min="264" max="264" width="12.85546875" style="595" customWidth="1"/>
    <col min="265" max="265" width="10.5703125" style="595" customWidth="1"/>
    <col min="266" max="512" width="9.140625" style="595"/>
    <col min="513" max="513" width="4.28515625" style="595" customWidth="1"/>
    <col min="514" max="514" width="8.7109375" style="595" customWidth="1"/>
    <col min="515" max="515" width="5.5703125" style="595" customWidth="1"/>
    <col min="516" max="516" width="11.85546875" style="595" customWidth="1"/>
    <col min="517" max="517" width="12" style="595" customWidth="1"/>
    <col min="518" max="518" width="11.5703125" style="595" customWidth="1"/>
    <col min="519" max="519" width="14" style="595" customWidth="1"/>
    <col min="520" max="520" width="12.85546875" style="595" customWidth="1"/>
    <col min="521" max="521" width="10.5703125" style="595" customWidth="1"/>
    <col min="522" max="768" width="9.140625" style="595"/>
    <col min="769" max="769" width="4.28515625" style="595" customWidth="1"/>
    <col min="770" max="770" width="8.7109375" style="595" customWidth="1"/>
    <col min="771" max="771" width="5.5703125" style="595" customWidth="1"/>
    <col min="772" max="772" width="11.85546875" style="595" customWidth="1"/>
    <col min="773" max="773" width="12" style="595" customWidth="1"/>
    <col min="774" max="774" width="11.5703125" style="595" customWidth="1"/>
    <col min="775" max="775" width="14" style="595" customWidth="1"/>
    <col min="776" max="776" width="12.85546875" style="595" customWidth="1"/>
    <col min="777" max="777" width="10.5703125" style="595" customWidth="1"/>
    <col min="778" max="1024" width="9.140625" style="595"/>
    <col min="1025" max="1025" width="4.28515625" style="595" customWidth="1"/>
    <col min="1026" max="1026" width="8.7109375" style="595" customWidth="1"/>
    <col min="1027" max="1027" width="5.5703125" style="595" customWidth="1"/>
    <col min="1028" max="1028" width="11.85546875" style="595" customWidth="1"/>
    <col min="1029" max="1029" width="12" style="595" customWidth="1"/>
    <col min="1030" max="1030" width="11.5703125" style="595" customWidth="1"/>
    <col min="1031" max="1031" width="14" style="595" customWidth="1"/>
    <col min="1032" max="1032" width="12.85546875" style="595" customWidth="1"/>
    <col min="1033" max="1033" width="10.5703125" style="595" customWidth="1"/>
    <col min="1034" max="1280" width="9.140625" style="595"/>
    <col min="1281" max="1281" width="4.28515625" style="595" customWidth="1"/>
    <col min="1282" max="1282" width="8.7109375" style="595" customWidth="1"/>
    <col min="1283" max="1283" width="5.5703125" style="595" customWidth="1"/>
    <col min="1284" max="1284" width="11.85546875" style="595" customWidth="1"/>
    <col min="1285" max="1285" width="12" style="595" customWidth="1"/>
    <col min="1286" max="1286" width="11.5703125" style="595" customWidth="1"/>
    <col min="1287" max="1287" width="14" style="595" customWidth="1"/>
    <col min="1288" max="1288" width="12.85546875" style="595" customWidth="1"/>
    <col min="1289" max="1289" width="10.5703125" style="595" customWidth="1"/>
    <col min="1290" max="1536" width="9.140625" style="595"/>
    <col min="1537" max="1537" width="4.28515625" style="595" customWidth="1"/>
    <col min="1538" max="1538" width="8.7109375" style="595" customWidth="1"/>
    <col min="1539" max="1539" width="5.5703125" style="595" customWidth="1"/>
    <col min="1540" max="1540" width="11.85546875" style="595" customWidth="1"/>
    <col min="1541" max="1541" width="12" style="595" customWidth="1"/>
    <col min="1542" max="1542" width="11.5703125" style="595" customWidth="1"/>
    <col min="1543" max="1543" width="14" style="595" customWidth="1"/>
    <col min="1544" max="1544" width="12.85546875" style="595" customWidth="1"/>
    <col min="1545" max="1545" width="10.5703125" style="595" customWidth="1"/>
    <col min="1546" max="1792" width="9.140625" style="595"/>
    <col min="1793" max="1793" width="4.28515625" style="595" customWidth="1"/>
    <col min="1794" max="1794" width="8.7109375" style="595" customWidth="1"/>
    <col min="1795" max="1795" width="5.5703125" style="595" customWidth="1"/>
    <col min="1796" max="1796" width="11.85546875" style="595" customWidth="1"/>
    <col min="1797" max="1797" width="12" style="595" customWidth="1"/>
    <col min="1798" max="1798" width="11.5703125" style="595" customWidth="1"/>
    <col min="1799" max="1799" width="14" style="595" customWidth="1"/>
    <col min="1800" max="1800" width="12.85546875" style="595" customWidth="1"/>
    <col min="1801" max="1801" width="10.5703125" style="595" customWidth="1"/>
    <col min="1802" max="2048" width="9.140625" style="595"/>
    <col min="2049" max="2049" width="4.28515625" style="595" customWidth="1"/>
    <col min="2050" max="2050" width="8.7109375" style="595" customWidth="1"/>
    <col min="2051" max="2051" width="5.5703125" style="595" customWidth="1"/>
    <col min="2052" max="2052" width="11.85546875" style="595" customWidth="1"/>
    <col min="2053" max="2053" width="12" style="595" customWidth="1"/>
    <col min="2054" max="2054" width="11.5703125" style="595" customWidth="1"/>
    <col min="2055" max="2055" width="14" style="595" customWidth="1"/>
    <col min="2056" max="2056" width="12.85546875" style="595" customWidth="1"/>
    <col min="2057" max="2057" width="10.5703125" style="595" customWidth="1"/>
    <col min="2058" max="2304" width="9.140625" style="595"/>
    <col min="2305" max="2305" width="4.28515625" style="595" customWidth="1"/>
    <col min="2306" max="2306" width="8.7109375" style="595" customWidth="1"/>
    <col min="2307" max="2307" width="5.5703125" style="595" customWidth="1"/>
    <col min="2308" max="2308" width="11.85546875" style="595" customWidth="1"/>
    <col min="2309" max="2309" width="12" style="595" customWidth="1"/>
    <col min="2310" max="2310" width="11.5703125" style="595" customWidth="1"/>
    <col min="2311" max="2311" width="14" style="595" customWidth="1"/>
    <col min="2312" max="2312" width="12.85546875" style="595" customWidth="1"/>
    <col min="2313" max="2313" width="10.5703125" style="595" customWidth="1"/>
    <col min="2314" max="2560" width="9.140625" style="595"/>
    <col min="2561" max="2561" width="4.28515625" style="595" customWidth="1"/>
    <col min="2562" max="2562" width="8.7109375" style="595" customWidth="1"/>
    <col min="2563" max="2563" width="5.5703125" style="595" customWidth="1"/>
    <col min="2564" max="2564" width="11.85546875" style="595" customWidth="1"/>
    <col min="2565" max="2565" width="12" style="595" customWidth="1"/>
    <col min="2566" max="2566" width="11.5703125" style="595" customWidth="1"/>
    <col min="2567" max="2567" width="14" style="595" customWidth="1"/>
    <col min="2568" max="2568" width="12.85546875" style="595" customWidth="1"/>
    <col min="2569" max="2569" width="10.5703125" style="595" customWidth="1"/>
    <col min="2570" max="2816" width="9.140625" style="595"/>
    <col min="2817" max="2817" width="4.28515625" style="595" customWidth="1"/>
    <col min="2818" max="2818" width="8.7109375" style="595" customWidth="1"/>
    <col min="2819" max="2819" width="5.5703125" style="595" customWidth="1"/>
    <col min="2820" max="2820" width="11.85546875" style="595" customWidth="1"/>
    <col min="2821" max="2821" width="12" style="595" customWidth="1"/>
    <col min="2822" max="2822" width="11.5703125" style="595" customWidth="1"/>
    <col min="2823" max="2823" width="14" style="595" customWidth="1"/>
    <col min="2824" max="2824" width="12.85546875" style="595" customWidth="1"/>
    <col min="2825" max="2825" width="10.5703125" style="595" customWidth="1"/>
    <col min="2826" max="3072" width="9.140625" style="595"/>
    <col min="3073" max="3073" width="4.28515625" style="595" customWidth="1"/>
    <col min="3074" max="3074" width="8.7109375" style="595" customWidth="1"/>
    <col min="3075" max="3075" width="5.5703125" style="595" customWidth="1"/>
    <col min="3076" max="3076" width="11.85546875" style="595" customWidth="1"/>
    <col min="3077" max="3077" width="12" style="595" customWidth="1"/>
    <col min="3078" max="3078" width="11.5703125" style="595" customWidth="1"/>
    <col min="3079" max="3079" width="14" style="595" customWidth="1"/>
    <col min="3080" max="3080" width="12.85546875" style="595" customWidth="1"/>
    <col min="3081" max="3081" width="10.5703125" style="595" customWidth="1"/>
    <col min="3082" max="3328" width="9.140625" style="595"/>
    <col min="3329" max="3329" width="4.28515625" style="595" customWidth="1"/>
    <col min="3330" max="3330" width="8.7109375" style="595" customWidth="1"/>
    <col min="3331" max="3331" width="5.5703125" style="595" customWidth="1"/>
    <col min="3332" max="3332" width="11.85546875" style="595" customWidth="1"/>
    <col min="3333" max="3333" width="12" style="595" customWidth="1"/>
    <col min="3334" max="3334" width="11.5703125" style="595" customWidth="1"/>
    <col min="3335" max="3335" width="14" style="595" customWidth="1"/>
    <col min="3336" max="3336" width="12.85546875" style="595" customWidth="1"/>
    <col min="3337" max="3337" width="10.5703125" style="595" customWidth="1"/>
    <col min="3338" max="3584" width="9.140625" style="595"/>
    <col min="3585" max="3585" width="4.28515625" style="595" customWidth="1"/>
    <col min="3586" max="3586" width="8.7109375" style="595" customWidth="1"/>
    <col min="3587" max="3587" width="5.5703125" style="595" customWidth="1"/>
    <col min="3588" max="3588" width="11.85546875" style="595" customWidth="1"/>
    <col min="3589" max="3589" width="12" style="595" customWidth="1"/>
    <col min="3590" max="3590" width="11.5703125" style="595" customWidth="1"/>
    <col min="3591" max="3591" width="14" style="595" customWidth="1"/>
    <col min="3592" max="3592" width="12.85546875" style="595" customWidth="1"/>
    <col min="3593" max="3593" width="10.5703125" style="595" customWidth="1"/>
    <col min="3594" max="3840" width="9.140625" style="595"/>
    <col min="3841" max="3841" width="4.28515625" style="595" customWidth="1"/>
    <col min="3842" max="3842" width="8.7109375" style="595" customWidth="1"/>
    <col min="3843" max="3843" width="5.5703125" style="595" customWidth="1"/>
    <col min="3844" max="3844" width="11.85546875" style="595" customWidth="1"/>
    <col min="3845" max="3845" width="12" style="595" customWidth="1"/>
    <col min="3846" max="3846" width="11.5703125" style="595" customWidth="1"/>
    <col min="3847" max="3847" width="14" style="595" customWidth="1"/>
    <col min="3848" max="3848" width="12.85546875" style="595" customWidth="1"/>
    <col min="3849" max="3849" width="10.5703125" style="595" customWidth="1"/>
    <col min="3850" max="4096" width="9.140625" style="595"/>
    <col min="4097" max="4097" width="4.28515625" style="595" customWidth="1"/>
    <col min="4098" max="4098" width="8.7109375" style="595" customWidth="1"/>
    <col min="4099" max="4099" width="5.5703125" style="595" customWidth="1"/>
    <col min="4100" max="4100" width="11.85546875" style="595" customWidth="1"/>
    <col min="4101" max="4101" width="12" style="595" customWidth="1"/>
    <col min="4102" max="4102" width="11.5703125" style="595" customWidth="1"/>
    <col min="4103" max="4103" width="14" style="595" customWidth="1"/>
    <col min="4104" max="4104" width="12.85546875" style="595" customWidth="1"/>
    <col min="4105" max="4105" width="10.5703125" style="595" customWidth="1"/>
    <col min="4106" max="4352" width="9.140625" style="595"/>
    <col min="4353" max="4353" width="4.28515625" style="595" customWidth="1"/>
    <col min="4354" max="4354" width="8.7109375" style="595" customWidth="1"/>
    <col min="4355" max="4355" width="5.5703125" style="595" customWidth="1"/>
    <col min="4356" max="4356" width="11.85546875" style="595" customWidth="1"/>
    <col min="4357" max="4357" width="12" style="595" customWidth="1"/>
    <col min="4358" max="4358" width="11.5703125" style="595" customWidth="1"/>
    <col min="4359" max="4359" width="14" style="595" customWidth="1"/>
    <col min="4360" max="4360" width="12.85546875" style="595" customWidth="1"/>
    <col min="4361" max="4361" width="10.5703125" style="595" customWidth="1"/>
    <col min="4362" max="4608" width="9.140625" style="595"/>
    <col min="4609" max="4609" width="4.28515625" style="595" customWidth="1"/>
    <col min="4610" max="4610" width="8.7109375" style="595" customWidth="1"/>
    <col min="4611" max="4611" width="5.5703125" style="595" customWidth="1"/>
    <col min="4612" max="4612" width="11.85546875" style="595" customWidth="1"/>
    <col min="4613" max="4613" width="12" style="595" customWidth="1"/>
    <col min="4614" max="4614" width="11.5703125" style="595" customWidth="1"/>
    <col min="4615" max="4615" width="14" style="595" customWidth="1"/>
    <col min="4616" max="4616" width="12.85546875" style="595" customWidth="1"/>
    <col min="4617" max="4617" width="10.5703125" style="595" customWidth="1"/>
    <col min="4618" max="4864" width="9.140625" style="595"/>
    <col min="4865" max="4865" width="4.28515625" style="595" customWidth="1"/>
    <col min="4866" max="4866" width="8.7109375" style="595" customWidth="1"/>
    <col min="4867" max="4867" width="5.5703125" style="595" customWidth="1"/>
    <col min="4868" max="4868" width="11.85546875" style="595" customWidth="1"/>
    <col min="4869" max="4869" width="12" style="595" customWidth="1"/>
    <col min="4870" max="4870" width="11.5703125" style="595" customWidth="1"/>
    <col min="4871" max="4871" width="14" style="595" customWidth="1"/>
    <col min="4872" max="4872" width="12.85546875" style="595" customWidth="1"/>
    <col min="4873" max="4873" width="10.5703125" style="595" customWidth="1"/>
    <col min="4874" max="5120" width="9.140625" style="595"/>
    <col min="5121" max="5121" width="4.28515625" style="595" customWidth="1"/>
    <col min="5122" max="5122" width="8.7109375" style="595" customWidth="1"/>
    <col min="5123" max="5123" width="5.5703125" style="595" customWidth="1"/>
    <col min="5124" max="5124" width="11.85546875" style="595" customWidth="1"/>
    <col min="5125" max="5125" width="12" style="595" customWidth="1"/>
    <col min="5126" max="5126" width="11.5703125" style="595" customWidth="1"/>
    <col min="5127" max="5127" width="14" style="595" customWidth="1"/>
    <col min="5128" max="5128" width="12.85546875" style="595" customWidth="1"/>
    <col min="5129" max="5129" width="10.5703125" style="595" customWidth="1"/>
    <col min="5130" max="5376" width="9.140625" style="595"/>
    <col min="5377" max="5377" width="4.28515625" style="595" customWidth="1"/>
    <col min="5378" max="5378" width="8.7109375" style="595" customWidth="1"/>
    <col min="5379" max="5379" width="5.5703125" style="595" customWidth="1"/>
    <col min="5380" max="5380" width="11.85546875" style="595" customWidth="1"/>
    <col min="5381" max="5381" width="12" style="595" customWidth="1"/>
    <col min="5382" max="5382" width="11.5703125" style="595" customWidth="1"/>
    <col min="5383" max="5383" width="14" style="595" customWidth="1"/>
    <col min="5384" max="5384" width="12.85546875" style="595" customWidth="1"/>
    <col min="5385" max="5385" width="10.5703125" style="595" customWidth="1"/>
    <col min="5386" max="5632" width="9.140625" style="595"/>
    <col min="5633" max="5633" width="4.28515625" style="595" customWidth="1"/>
    <col min="5634" max="5634" width="8.7109375" style="595" customWidth="1"/>
    <col min="5635" max="5635" width="5.5703125" style="595" customWidth="1"/>
    <col min="5636" max="5636" width="11.85546875" style="595" customWidth="1"/>
    <col min="5637" max="5637" width="12" style="595" customWidth="1"/>
    <col min="5638" max="5638" width="11.5703125" style="595" customWidth="1"/>
    <col min="5639" max="5639" width="14" style="595" customWidth="1"/>
    <col min="5640" max="5640" width="12.85546875" style="595" customWidth="1"/>
    <col min="5641" max="5641" width="10.5703125" style="595" customWidth="1"/>
    <col min="5642" max="5888" width="9.140625" style="595"/>
    <col min="5889" max="5889" width="4.28515625" style="595" customWidth="1"/>
    <col min="5890" max="5890" width="8.7109375" style="595" customWidth="1"/>
    <col min="5891" max="5891" width="5.5703125" style="595" customWidth="1"/>
    <col min="5892" max="5892" width="11.85546875" style="595" customWidth="1"/>
    <col min="5893" max="5893" width="12" style="595" customWidth="1"/>
    <col min="5894" max="5894" width="11.5703125" style="595" customWidth="1"/>
    <col min="5895" max="5895" width="14" style="595" customWidth="1"/>
    <col min="5896" max="5896" width="12.85546875" style="595" customWidth="1"/>
    <col min="5897" max="5897" width="10.5703125" style="595" customWidth="1"/>
    <col min="5898" max="6144" width="9.140625" style="595"/>
    <col min="6145" max="6145" width="4.28515625" style="595" customWidth="1"/>
    <col min="6146" max="6146" width="8.7109375" style="595" customWidth="1"/>
    <col min="6147" max="6147" width="5.5703125" style="595" customWidth="1"/>
    <col min="6148" max="6148" width="11.85546875" style="595" customWidth="1"/>
    <col min="6149" max="6149" width="12" style="595" customWidth="1"/>
    <col min="6150" max="6150" width="11.5703125" style="595" customWidth="1"/>
    <col min="6151" max="6151" width="14" style="595" customWidth="1"/>
    <col min="6152" max="6152" width="12.85546875" style="595" customWidth="1"/>
    <col min="6153" max="6153" width="10.5703125" style="595" customWidth="1"/>
    <col min="6154" max="6400" width="9.140625" style="595"/>
    <col min="6401" max="6401" width="4.28515625" style="595" customWidth="1"/>
    <col min="6402" max="6402" width="8.7109375" style="595" customWidth="1"/>
    <col min="6403" max="6403" width="5.5703125" style="595" customWidth="1"/>
    <col min="6404" max="6404" width="11.85546875" style="595" customWidth="1"/>
    <col min="6405" max="6405" width="12" style="595" customWidth="1"/>
    <col min="6406" max="6406" width="11.5703125" style="595" customWidth="1"/>
    <col min="6407" max="6407" width="14" style="595" customWidth="1"/>
    <col min="6408" max="6408" width="12.85546875" style="595" customWidth="1"/>
    <col min="6409" max="6409" width="10.5703125" style="595" customWidth="1"/>
    <col min="6410" max="6656" width="9.140625" style="595"/>
    <col min="6657" max="6657" width="4.28515625" style="595" customWidth="1"/>
    <col min="6658" max="6658" width="8.7109375" style="595" customWidth="1"/>
    <col min="6659" max="6659" width="5.5703125" style="595" customWidth="1"/>
    <col min="6660" max="6660" width="11.85546875" style="595" customWidth="1"/>
    <col min="6661" max="6661" width="12" style="595" customWidth="1"/>
    <col min="6662" max="6662" width="11.5703125" style="595" customWidth="1"/>
    <col min="6663" max="6663" width="14" style="595" customWidth="1"/>
    <col min="6664" max="6664" width="12.85546875" style="595" customWidth="1"/>
    <col min="6665" max="6665" width="10.5703125" style="595" customWidth="1"/>
    <col min="6666" max="6912" width="9.140625" style="595"/>
    <col min="6913" max="6913" width="4.28515625" style="595" customWidth="1"/>
    <col min="6914" max="6914" width="8.7109375" style="595" customWidth="1"/>
    <col min="6915" max="6915" width="5.5703125" style="595" customWidth="1"/>
    <col min="6916" max="6916" width="11.85546875" style="595" customWidth="1"/>
    <col min="6917" max="6917" width="12" style="595" customWidth="1"/>
    <col min="6918" max="6918" width="11.5703125" style="595" customWidth="1"/>
    <col min="6919" max="6919" width="14" style="595" customWidth="1"/>
    <col min="6920" max="6920" width="12.85546875" style="595" customWidth="1"/>
    <col min="6921" max="6921" width="10.5703125" style="595" customWidth="1"/>
    <col min="6922" max="7168" width="9.140625" style="595"/>
    <col min="7169" max="7169" width="4.28515625" style="595" customWidth="1"/>
    <col min="7170" max="7170" width="8.7109375" style="595" customWidth="1"/>
    <col min="7171" max="7171" width="5.5703125" style="595" customWidth="1"/>
    <col min="7172" max="7172" width="11.85546875" style="595" customWidth="1"/>
    <col min="7173" max="7173" width="12" style="595" customWidth="1"/>
    <col min="7174" max="7174" width="11.5703125" style="595" customWidth="1"/>
    <col min="7175" max="7175" width="14" style="595" customWidth="1"/>
    <col min="7176" max="7176" width="12.85546875" style="595" customWidth="1"/>
    <col min="7177" max="7177" width="10.5703125" style="595" customWidth="1"/>
    <col min="7178" max="7424" width="9.140625" style="595"/>
    <col min="7425" max="7425" width="4.28515625" style="595" customWidth="1"/>
    <col min="7426" max="7426" width="8.7109375" style="595" customWidth="1"/>
    <col min="7427" max="7427" width="5.5703125" style="595" customWidth="1"/>
    <col min="7428" max="7428" width="11.85546875" style="595" customWidth="1"/>
    <col min="7429" max="7429" width="12" style="595" customWidth="1"/>
    <col min="7430" max="7430" width="11.5703125" style="595" customWidth="1"/>
    <col min="7431" max="7431" width="14" style="595" customWidth="1"/>
    <col min="7432" max="7432" width="12.85546875" style="595" customWidth="1"/>
    <col min="7433" max="7433" width="10.5703125" style="595" customWidth="1"/>
    <col min="7434" max="7680" width="9.140625" style="595"/>
    <col min="7681" max="7681" width="4.28515625" style="595" customWidth="1"/>
    <col min="7682" max="7682" width="8.7109375" style="595" customWidth="1"/>
    <col min="7683" max="7683" width="5.5703125" style="595" customWidth="1"/>
    <col min="7684" max="7684" width="11.85546875" style="595" customWidth="1"/>
    <col min="7685" max="7685" width="12" style="595" customWidth="1"/>
    <col min="7686" max="7686" width="11.5703125" style="595" customWidth="1"/>
    <col min="7687" max="7687" width="14" style="595" customWidth="1"/>
    <col min="7688" max="7688" width="12.85546875" style="595" customWidth="1"/>
    <col min="7689" max="7689" width="10.5703125" style="595" customWidth="1"/>
    <col min="7690" max="7936" width="9.140625" style="595"/>
    <col min="7937" max="7937" width="4.28515625" style="595" customWidth="1"/>
    <col min="7938" max="7938" width="8.7109375" style="595" customWidth="1"/>
    <col min="7939" max="7939" width="5.5703125" style="595" customWidth="1"/>
    <col min="7940" max="7940" width="11.85546875" style="595" customWidth="1"/>
    <col min="7941" max="7941" width="12" style="595" customWidth="1"/>
    <col min="7942" max="7942" width="11.5703125" style="595" customWidth="1"/>
    <col min="7943" max="7943" width="14" style="595" customWidth="1"/>
    <col min="7944" max="7944" width="12.85546875" style="595" customWidth="1"/>
    <col min="7945" max="7945" width="10.5703125" style="595" customWidth="1"/>
    <col min="7946" max="8192" width="9.140625" style="595"/>
    <col min="8193" max="8193" width="4.28515625" style="595" customWidth="1"/>
    <col min="8194" max="8194" width="8.7109375" style="595" customWidth="1"/>
    <col min="8195" max="8195" width="5.5703125" style="595" customWidth="1"/>
    <col min="8196" max="8196" width="11.85546875" style="595" customWidth="1"/>
    <col min="8197" max="8197" width="12" style="595" customWidth="1"/>
    <col min="8198" max="8198" width="11.5703125" style="595" customWidth="1"/>
    <col min="8199" max="8199" width="14" style="595" customWidth="1"/>
    <col min="8200" max="8200" width="12.85546875" style="595" customWidth="1"/>
    <col min="8201" max="8201" width="10.5703125" style="595" customWidth="1"/>
    <col min="8202" max="8448" width="9.140625" style="595"/>
    <col min="8449" max="8449" width="4.28515625" style="595" customWidth="1"/>
    <col min="8450" max="8450" width="8.7109375" style="595" customWidth="1"/>
    <col min="8451" max="8451" width="5.5703125" style="595" customWidth="1"/>
    <col min="8452" max="8452" width="11.85546875" style="595" customWidth="1"/>
    <col min="8453" max="8453" width="12" style="595" customWidth="1"/>
    <col min="8454" max="8454" width="11.5703125" style="595" customWidth="1"/>
    <col min="8455" max="8455" width="14" style="595" customWidth="1"/>
    <col min="8456" max="8456" width="12.85546875" style="595" customWidth="1"/>
    <col min="8457" max="8457" width="10.5703125" style="595" customWidth="1"/>
    <col min="8458" max="8704" width="9.140625" style="595"/>
    <col min="8705" max="8705" width="4.28515625" style="595" customWidth="1"/>
    <col min="8706" max="8706" width="8.7109375" style="595" customWidth="1"/>
    <col min="8707" max="8707" width="5.5703125" style="595" customWidth="1"/>
    <col min="8708" max="8708" width="11.85546875" style="595" customWidth="1"/>
    <col min="8709" max="8709" width="12" style="595" customWidth="1"/>
    <col min="8710" max="8710" width="11.5703125" style="595" customWidth="1"/>
    <col min="8711" max="8711" width="14" style="595" customWidth="1"/>
    <col min="8712" max="8712" width="12.85546875" style="595" customWidth="1"/>
    <col min="8713" max="8713" width="10.5703125" style="595" customWidth="1"/>
    <col min="8714" max="8960" width="9.140625" style="595"/>
    <col min="8961" max="8961" width="4.28515625" style="595" customWidth="1"/>
    <col min="8962" max="8962" width="8.7109375" style="595" customWidth="1"/>
    <col min="8963" max="8963" width="5.5703125" style="595" customWidth="1"/>
    <col min="8964" max="8964" width="11.85546875" style="595" customWidth="1"/>
    <col min="8965" max="8965" width="12" style="595" customWidth="1"/>
    <col min="8966" max="8966" width="11.5703125" style="595" customWidth="1"/>
    <col min="8967" max="8967" width="14" style="595" customWidth="1"/>
    <col min="8968" max="8968" width="12.85546875" style="595" customWidth="1"/>
    <col min="8969" max="8969" width="10.5703125" style="595" customWidth="1"/>
    <col min="8970" max="9216" width="9.140625" style="595"/>
    <col min="9217" max="9217" width="4.28515625" style="595" customWidth="1"/>
    <col min="9218" max="9218" width="8.7109375" style="595" customWidth="1"/>
    <col min="9219" max="9219" width="5.5703125" style="595" customWidth="1"/>
    <col min="9220" max="9220" width="11.85546875" style="595" customWidth="1"/>
    <col min="9221" max="9221" width="12" style="595" customWidth="1"/>
    <col min="9222" max="9222" width="11.5703125" style="595" customWidth="1"/>
    <col min="9223" max="9223" width="14" style="595" customWidth="1"/>
    <col min="9224" max="9224" width="12.85546875" style="595" customWidth="1"/>
    <col min="9225" max="9225" width="10.5703125" style="595" customWidth="1"/>
    <col min="9226" max="9472" width="9.140625" style="595"/>
    <col min="9473" max="9473" width="4.28515625" style="595" customWidth="1"/>
    <col min="9474" max="9474" width="8.7109375" style="595" customWidth="1"/>
    <col min="9475" max="9475" width="5.5703125" style="595" customWidth="1"/>
    <col min="9476" max="9476" width="11.85546875" style="595" customWidth="1"/>
    <col min="9477" max="9477" width="12" style="595" customWidth="1"/>
    <col min="9478" max="9478" width="11.5703125" style="595" customWidth="1"/>
    <col min="9479" max="9479" width="14" style="595" customWidth="1"/>
    <col min="9480" max="9480" width="12.85546875" style="595" customWidth="1"/>
    <col min="9481" max="9481" width="10.5703125" style="595" customWidth="1"/>
    <col min="9482" max="9728" width="9.140625" style="595"/>
    <col min="9729" max="9729" width="4.28515625" style="595" customWidth="1"/>
    <col min="9730" max="9730" width="8.7109375" style="595" customWidth="1"/>
    <col min="9731" max="9731" width="5.5703125" style="595" customWidth="1"/>
    <col min="9732" max="9732" width="11.85546875" style="595" customWidth="1"/>
    <col min="9733" max="9733" width="12" style="595" customWidth="1"/>
    <col min="9734" max="9734" width="11.5703125" style="595" customWidth="1"/>
    <col min="9735" max="9735" width="14" style="595" customWidth="1"/>
    <col min="9736" max="9736" width="12.85546875" style="595" customWidth="1"/>
    <col min="9737" max="9737" width="10.5703125" style="595" customWidth="1"/>
    <col min="9738" max="9984" width="9.140625" style="595"/>
    <col min="9985" max="9985" width="4.28515625" style="595" customWidth="1"/>
    <col min="9986" max="9986" width="8.7109375" style="595" customWidth="1"/>
    <col min="9987" max="9987" width="5.5703125" style="595" customWidth="1"/>
    <col min="9988" max="9988" width="11.85546875" style="595" customWidth="1"/>
    <col min="9989" max="9989" width="12" style="595" customWidth="1"/>
    <col min="9990" max="9990" width="11.5703125" style="595" customWidth="1"/>
    <col min="9991" max="9991" width="14" style="595" customWidth="1"/>
    <col min="9992" max="9992" width="12.85546875" style="595" customWidth="1"/>
    <col min="9993" max="9993" width="10.5703125" style="595" customWidth="1"/>
    <col min="9994" max="10240" width="9.140625" style="595"/>
    <col min="10241" max="10241" width="4.28515625" style="595" customWidth="1"/>
    <col min="10242" max="10242" width="8.7109375" style="595" customWidth="1"/>
    <col min="10243" max="10243" width="5.5703125" style="595" customWidth="1"/>
    <col min="10244" max="10244" width="11.85546875" style="595" customWidth="1"/>
    <col min="10245" max="10245" width="12" style="595" customWidth="1"/>
    <col min="10246" max="10246" width="11.5703125" style="595" customWidth="1"/>
    <col min="10247" max="10247" width="14" style="595" customWidth="1"/>
    <col min="10248" max="10248" width="12.85546875" style="595" customWidth="1"/>
    <col min="10249" max="10249" width="10.5703125" style="595" customWidth="1"/>
    <col min="10250" max="10496" width="9.140625" style="595"/>
    <col min="10497" max="10497" width="4.28515625" style="595" customWidth="1"/>
    <col min="10498" max="10498" width="8.7109375" style="595" customWidth="1"/>
    <col min="10499" max="10499" width="5.5703125" style="595" customWidth="1"/>
    <col min="10500" max="10500" width="11.85546875" style="595" customWidth="1"/>
    <col min="10501" max="10501" width="12" style="595" customWidth="1"/>
    <col min="10502" max="10502" width="11.5703125" style="595" customWidth="1"/>
    <col min="10503" max="10503" width="14" style="595" customWidth="1"/>
    <col min="10504" max="10504" width="12.85546875" style="595" customWidth="1"/>
    <col min="10505" max="10505" width="10.5703125" style="595" customWidth="1"/>
    <col min="10506" max="10752" width="9.140625" style="595"/>
    <col min="10753" max="10753" width="4.28515625" style="595" customWidth="1"/>
    <col min="10754" max="10754" width="8.7109375" style="595" customWidth="1"/>
    <col min="10755" max="10755" width="5.5703125" style="595" customWidth="1"/>
    <col min="10756" max="10756" width="11.85546875" style="595" customWidth="1"/>
    <col min="10757" max="10757" width="12" style="595" customWidth="1"/>
    <col min="10758" max="10758" width="11.5703125" style="595" customWidth="1"/>
    <col min="10759" max="10759" width="14" style="595" customWidth="1"/>
    <col min="10760" max="10760" width="12.85546875" style="595" customWidth="1"/>
    <col min="10761" max="10761" width="10.5703125" style="595" customWidth="1"/>
    <col min="10762" max="11008" width="9.140625" style="595"/>
    <col min="11009" max="11009" width="4.28515625" style="595" customWidth="1"/>
    <col min="11010" max="11010" width="8.7109375" style="595" customWidth="1"/>
    <col min="11011" max="11011" width="5.5703125" style="595" customWidth="1"/>
    <col min="11012" max="11012" width="11.85546875" style="595" customWidth="1"/>
    <col min="11013" max="11013" width="12" style="595" customWidth="1"/>
    <col min="11014" max="11014" width="11.5703125" style="595" customWidth="1"/>
    <col min="11015" max="11015" width="14" style="595" customWidth="1"/>
    <col min="11016" max="11016" width="12.85546875" style="595" customWidth="1"/>
    <col min="11017" max="11017" width="10.5703125" style="595" customWidth="1"/>
    <col min="11018" max="11264" width="9.140625" style="595"/>
    <col min="11265" max="11265" width="4.28515625" style="595" customWidth="1"/>
    <col min="11266" max="11266" width="8.7109375" style="595" customWidth="1"/>
    <col min="11267" max="11267" width="5.5703125" style="595" customWidth="1"/>
    <col min="11268" max="11268" width="11.85546875" style="595" customWidth="1"/>
    <col min="11269" max="11269" width="12" style="595" customWidth="1"/>
    <col min="11270" max="11270" width="11.5703125" style="595" customWidth="1"/>
    <col min="11271" max="11271" width="14" style="595" customWidth="1"/>
    <col min="11272" max="11272" width="12.85546875" style="595" customWidth="1"/>
    <col min="11273" max="11273" width="10.5703125" style="595" customWidth="1"/>
    <col min="11274" max="11520" width="9.140625" style="595"/>
    <col min="11521" max="11521" width="4.28515625" style="595" customWidth="1"/>
    <col min="11522" max="11522" width="8.7109375" style="595" customWidth="1"/>
    <col min="11523" max="11523" width="5.5703125" style="595" customWidth="1"/>
    <col min="11524" max="11524" width="11.85546875" style="595" customWidth="1"/>
    <col min="11525" max="11525" width="12" style="595" customWidth="1"/>
    <col min="11526" max="11526" width="11.5703125" style="595" customWidth="1"/>
    <col min="11527" max="11527" width="14" style="595" customWidth="1"/>
    <col min="11528" max="11528" width="12.85546875" style="595" customWidth="1"/>
    <col min="11529" max="11529" width="10.5703125" style="595" customWidth="1"/>
    <col min="11530" max="11776" width="9.140625" style="595"/>
    <col min="11777" max="11777" width="4.28515625" style="595" customWidth="1"/>
    <col min="11778" max="11778" width="8.7109375" style="595" customWidth="1"/>
    <col min="11779" max="11779" width="5.5703125" style="595" customWidth="1"/>
    <col min="11780" max="11780" width="11.85546875" style="595" customWidth="1"/>
    <col min="11781" max="11781" width="12" style="595" customWidth="1"/>
    <col min="11782" max="11782" width="11.5703125" style="595" customWidth="1"/>
    <col min="11783" max="11783" width="14" style="595" customWidth="1"/>
    <col min="11784" max="11784" width="12.85546875" style="595" customWidth="1"/>
    <col min="11785" max="11785" width="10.5703125" style="595" customWidth="1"/>
    <col min="11786" max="12032" width="9.140625" style="595"/>
    <col min="12033" max="12033" width="4.28515625" style="595" customWidth="1"/>
    <col min="12034" max="12034" width="8.7109375" style="595" customWidth="1"/>
    <col min="12035" max="12035" width="5.5703125" style="595" customWidth="1"/>
    <col min="12036" max="12036" width="11.85546875" style="595" customWidth="1"/>
    <col min="12037" max="12037" width="12" style="595" customWidth="1"/>
    <col min="12038" max="12038" width="11.5703125" style="595" customWidth="1"/>
    <col min="12039" max="12039" width="14" style="595" customWidth="1"/>
    <col min="12040" max="12040" width="12.85546875" style="595" customWidth="1"/>
    <col min="12041" max="12041" width="10.5703125" style="595" customWidth="1"/>
    <col min="12042" max="12288" width="9.140625" style="595"/>
    <col min="12289" max="12289" width="4.28515625" style="595" customWidth="1"/>
    <col min="12290" max="12290" width="8.7109375" style="595" customWidth="1"/>
    <col min="12291" max="12291" width="5.5703125" style="595" customWidth="1"/>
    <col min="12292" max="12292" width="11.85546875" style="595" customWidth="1"/>
    <col min="12293" max="12293" width="12" style="595" customWidth="1"/>
    <col min="12294" max="12294" width="11.5703125" style="595" customWidth="1"/>
    <col min="12295" max="12295" width="14" style="595" customWidth="1"/>
    <col min="12296" max="12296" width="12.85546875" style="595" customWidth="1"/>
    <col min="12297" max="12297" width="10.5703125" style="595" customWidth="1"/>
    <col min="12298" max="12544" width="9.140625" style="595"/>
    <col min="12545" max="12545" width="4.28515625" style="595" customWidth="1"/>
    <col min="12546" max="12546" width="8.7109375" style="595" customWidth="1"/>
    <col min="12547" max="12547" width="5.5703125" style="595" customWidth="1"/>
    <col min="12548" max="12548" width="11.85546875" style="595" customWidth="1"/>
    <col min="12549" max="12549" width="12" style="595" customWidth="1"/>
    <col min="12550" max="12550" width="11.5703125" style="595" customWidth="1"/>
    <col min="12551" max="12551" width="14" style="595" customWidth="1"/>
    <col min="12552" max="12552" width="12.85546875" style="595" customWidth="1"/>
    <col min="12553" max="12553" width="10.5703125" style="595" customWidth="1"/>
    <col min="12554" max="12800" width="9.140625" style="595"/>
    <col min="12801" max="12801" width="4.28515625" style="595" customWidth="1"/>
    <col min="12802" max="12802" width="8.7109375" style="595" customWidth="1"/>
    <col min="12803" max="12803" width="5.5703125" style="595" customWidth="1"/>
    <col min="12804" max="12804" width="11.85546875" style="595" customWidth="1"/>
    <col min="12805" max="12805" width="12" style="595" customWidth="1"/>
    <col min="12806" max="12806" width="11.5703125" style="595" customWidth="1"/>
    <col min="12807" max="12807" width="14" style="595" customWidth="1"/>
    <col min="12808" max="12808" width="12.85546875" style="595" customWidth="1"/>
    <col min="12809" max="12809" width="10.5703125" style="595" customWidth="1"/>
    <col min="12810" max="13056" width="9.140625" style="595"/>
    <col min="13057" max="13057" width="4.28515625" style="595" customWidth="1"/>
    <col min="13058" max="13058" width="8.7109375" style="595" customWidth="1"/>
    <col min="13059" max="13059" width="5.5703125" style="595" customWidth="1"/>
    <col min="13060" max="13060" width="11.85546875" style="595" customWidth="1"/>
    <col min="13061" max="13061" width="12" style="595" customWidth="1"/>
    <col min="13062" max="13062" width="11.5703125" style="595" customWidth="1"/>
    <col min="13063" max="13063" width="14" style="595" customWidth="1"/>
    <col min="13064" max="13064" width="12.85546875" style="595" customWidth="1"/>
    <col min="13065" max="13065" width="10.5703125" style="595" customWidth="1"/>
    <col min="13066" max="13312" width="9.140625" style="595"/>
    <col min="13313" max="13313" width="4.28515625" style="595" customWidth="1"/>
    <col min="13314" max="13314" width="8.7109375" style="595" customWidth="1"/>
    <col min="13315" max="13315" width="5.5703125" style="595" customWidth="1"/>
    <col min="13316" max="13316" width="11.85546875" style="595" customWidth="1"/>
    <col min="13317" max="13317" width="12" style="595" customWidth="1"/>
    <col min="13318" max="13318" width="11.5703125" style="595" customWidth="1"/>
    <col min="13319" max="13319" width="14" style="595" customWidth="1"/>
    <col min="13320" max="13320" width="12.85546875" style="595" customWidth="1"/>
    <col min="13321" max="13321" width="10.5703125" style="595" customWidth="1"/>
    <col min="13322" max="13568" width="9.140625" style="595"/>
    <col min="13569" max="13569" width="4.28515625" style="595" customWidth="1"/>
    <col min="13570" max="13570" width="8.7109375" style="595" customWidth="1"/>
    <col min="13571" max="13571" width="5.5703125" style="595" customWidth="1"/>
    <col min="13572" max="13572" width="11.85546875" style="595" customWidth="1"/>
    <col min="13573" max="13573" width="12" style="595" customWidth="1"/>
    <col min="13574" max="13574" width="11.5703125" style="595" customWidth="1"/>
    <col min="13575" max="13575" width="14" style="595" customWidth="1"/>
    <col min="13576" max="13576" width="12.85546875" style="595" customWidth="1"/>
    <col min="13577" max="13577" width="10.5703125" style="595" customWidth="1"/>
    <col min="13578" max="13824" width="9.140625" style="595"/>
    <col min="13825" max="13825" width="4.28515625" style="595" customWidth="1"/>
    <col min="13826" max="13826" width="8.7109375" style="595" customWidth="1"/>
    <col min="13827" max="13827" width="5.5703125" style="595" customWidth="1"/>
    <col min="13828" max="13828" width="11.85546875" style="595" customWidth="1"/>
    <col min="13829" max="13829" width="12" style="595" customWidth="1"/>
    <col min="13830" max="13830" width="11.5703125" style="595" customWidth="1"/>
    <col min="13831" max="13831" width="14" style="595" customWidth="1"/>
    <col min="13832" max="13832" width="12.85546875" style="595" customWidth="1"/>
    <col min="13833" max="13833" width="10.5703125" style="595" customWidth="1"/>
    <col min="13834" max="14080" width="9.140625" style="595"/>
    <col min="14081" max="14081" width="4.28515625" style="595" customWidth="1"/>
    <col min="14082" max="14082" width="8.7109375" style="595" customWidth="1"/>
    <col min="14083" max="14083" width="5.5703125" style="595" customWidth="1"/>
    <col min="14084" max="14084" width="11.85546875" style="595" customWidth="1"/>
    <col min="14085" max="14085" width="12" style="595" customWidth="1"/>
    <col min="14086" max="14086" width="11.5703125" style="595" customWidth="1"/>
    <col min="14087" max="14087" width="14" style="595" customWidth="1"/>
    <col min="14088" max="14088" width="12.85546875" style="595" customWidth="1"/>
    <col min="14089" max="14089" width="10.5703125" style="595" customWidth="1"/>
    <col min="14090" max="14336" width="9.140625" style="595"/>
    <col min="14337" max="14337" width="4.28515625" style="595" customWidth="1"/>
    <col min="14338" max="14338" width="8.7109375" style="595" customWidth="1"/>
    <col min="14339" max="14339" width="5.5703125" style="595" customWidth="1"/>
    <col min="14340" max="14340" width="11.85546875" style="595" customWidth="1"/>
    <col min="14341" max="14341" width="12" style="595" customWidth="1"/>
    <col min="14342" max="14342" width="11.5703125" style="595" customWidth="1"/>
    <col min="14343" max="14343" width="14" style="595" customWidth="1"/>
    <col min="14344" max="14344" width="12.85546875" style="595" customWidth="1"/>
    <col min="14345" max="14345" width="10.5703125" style="595" customWidth="1"/>
    <col min="14346" max="14592" width="9.140625" style="595"/>
    <col min="14593" max="14593" width="4.28515625" style="595" customWidth="1"/>
    <col min="14594" max="14594" width="8.7109375" style="595" customWidth="1"/>
    <col min="14595" max="14595" width="5.5703125" style="595" customWidth="1"/>
    <col min="14596" max="14596" width="11.85546875" style="595" customWidth="1"/>
    <col min="14597" max="14597" width="12" style="595" customWidth="1"/>
    <col min="14598" max="14598" width="11.5703125" style="595" customWidth="1"/>
    <col min="14599" max="14599" width="14" style="595" customWidth="1"/>
    <col min="14600" max="14600" width="12.85546875" style="595" customWidth="1"/>
    <col min="14601" max="14601" width="10.5703125" style="595" customWidth="1"/>
    <col min="14602" max="14848" width="9.140625" style="595"/>
    <col min="14849" max="14849" width="4.28515625" style="595" customWidth="1"/>
    <col min="14850" max="14850" width="8.7109375" style="595" customWidth="1"/>
    <col min="14851" max="14851" width="5.5703125" style="595" customWidth="1"/>
    <col min="14852" max="14852" width="11.85546875" style="595" customWidth="1"/>
    <col min="14853" max="14853" width="12" style="595" customWidth="1"/>
    <col min="14854" max="14854" width="11.5703125" style="595" customWidth="1"/>
    <col min="14855" max="14855" width="14" style="595" customWidth="1"/>
    <col min="14856" max="14856" width="12.85546875" style="595" customWidth="1"/>
    <col min="14857" max="14857" width="10.5703125" style="595" customWidth="1"/>
    <col min="14858" max="15104" width="9.140625" style="595"/>
    <col min="15105" max="15105" width="4.28515625" style="595" customWidth="1"/>
    <col min="15106" max="15106" width="8.7109375" style="595" customWidth="1"/>
    <col min="15107" max="15107" width="5.5703125" style="595" customWidth="1"/>
    <col min="15108" max="15108" width="11.85546875" style="595" customWidth="1"/>
    <col min="15109" max="15109" width="12" style="595" customWidth="1"/>
    <col min="15110" max="15110" width="11.5703125" style="595" customWidth="1"/>
    <col min="15111" max="15111" width="14" style="595" customWidth="1"/>
    <col min="15112" max="15112" width="12.85546875" style="595" customWidth="1"/>
    <col min="15113" max="15113" width="10.5703125" style="595" customWidth="1"/>
    <col min="15114" max="15360" width="9.140625" style="595"/>
    <col min="15361" max="15361" width="4.28515625" style="595" customWidth="1"/>
    <col min="15362" max="15362" width="8.7109375" style="595" customWidth="1"/>
    <col min="15363" max="15363" width="5.5703125" style="595" customWidth="1"/>
    <col min="15364" max="15364" width="11.85546875" style="595" customWidth="1"/>
    <col min="15365" max="15365" width="12" style="595" customWidth="1"/>
    <col min="15366" max="15366" width="11.5703125" style="595" customWidth="1"/>
    <col min="15367" max="15367" width="14" style="595" customWidth="1"/>
    <col min="15368" max="15368" width="12.85546875" style="595" customWidth="1"/>
    <col min="15369" max="15369" width="10.5703125" style="595" customWidth="1"/>
    <col min="15370" max="15616" width="9.140625" style="595"/>
    <col min="15617" max="15617" width="4.28515625" style="595" customWidth="1"/>
    <col min="15618" max="15618" width="8.7109375" style="595" customWidth="1"/>
    <col min="15619" max="15619" width="5.5703125" style="595" customWidth="1"/>
    <col min="15620" max="15620" width="11.85546875" style="595" customWidth="1"/>
    <col min="15621" max="15621" width="12" style="595" customWidth="1"/>
    <col min="15622" max="15622" width="11.5703125" style="595" customWidth="1"/>
    <col min="15623" max="15623" width="14" style="595" customWidth="1"/>
    <col min="15624" max="15624" width="12.85546875" style="595" customWidth="1"/>
    <col min="15625" max="15625" width="10.5703125" style="595" customWidth="1"/>
    <col min="15626" max="15872" width="9.140625" style="595"/>
    <col min="15873" max="15873" width="4.28515625" style="595" customWidth="1"/>
    <col min="15874" max="15874" width="8.7109375" style="595" customWidth="1"/>
    <col min="15875" max="15875" width="5.5703125" style="595" customWidth="1"/>
    <col min="15876" max="15876" width="11.85546875" style="595" customWidth="1"/>
    <col min="15877" max="15877" width="12" style="595" customWidth="1"/>
    <col min="15878" max="15878" width="11.5703125" style="595" customWidth="1"/>
    <col min="15879" max="15879" width="14" style="595" customWidth="1"/>
    <col min="15880" max="15880" width="12.85546875" style="595" customWidth="1"/>
    <col min="15881" max="15881" width="10.5703125" style="595" customWidth="1"/>
    <col min="15882" max="16128" width="9.140625" style="595"/>
    <col min="16129" max="16129" width="4.28515625" style="595" customWidth="1"/>
    <col min="16130" max="16130" width="8.7109375" style="595" customWidth="1"/>
    <col min="16131" max="16131" width="5.5703125" style="595" customWidth="1"/>
    <col min="16132" max="16132" width="11.85546875" style="595" customWidth="1"/>
    <col min="16133" max="16133" width="12" style="595" customWidth="1"/>
    <col min="16134" max="16134" width="11.5703125" style="595" customWidth="1"/>
    <col min="16135" max="16135" width="14" style="595" customWidth="1"/>
    <col min="16136" max="16136" width="12.85546875" style="595" customWidth="1"/>
    <col min="16137" max="16137" width="10.5703125" style="595" customWidth="1"/>
    <col min="16138" max="16384" width="9.140625" style="595"/>
  </cols>
  <sheetData>
    <row r="1" spans="1:74" x14ac:dyDescent="0.2">
      <c r="G1" s="292"/>
      <c r="H1" s="293" t="s">
        <v>331</v>
      </c>
    </row>
    <row r="2" spans="1:74" x14ac:dyDescent="0.2">
      <c r="G2" s="292"/>
      <c r="H2" s="3" t="s">
        <v>286</v>
      </c>
    </row>
    <row r="3" spans="1:74" x14ac:dyDescent="0.2">
      <c r="G3" s="292"/>
      <c r="H3" s="3" t="s">
        <v>0</v>
      </c>
    </row>
    <row r="4" spans="1:74" x14ac:dyDescent="0.2">
      <c r="G4" s="292"/>
      <c r="H4" s="3" t="s">
        <v>287</v>
      </c>
    </row>
    <row r="5" spans="1:74" x14ac:dyDescent="0.2">
      <c r="H5" s="294"/>
    </row>
    <row r="7" spans="1:74" ht="35.25" customHeight="1" x14ac:dyDescent="0.2">
      <c r="A7" s="295" t="s">
        <v>332</v>
      </c>
      <c r="B7" s="295"/>
      <c r="C7" s="295"/>
      <c r="D7" s="295"/>
      <c r="E7" s="295"/>
      <c r="F7" s="295"/>
      <c r="G7" s="295"/>
      <c r="H7" s="295"/>
      <c r="I7" s="295"/>
    </row>
    <row r="8" spans="1:74" ht="18" customHeight="1" x14ac:dyDescent="0.2">
      <c r="A8" s="296"/>
      <c r="B8" s="296"/>
      <c r="C8" s="296"/>
      <c r="D8" s="296"/>
      <c r="E8" s="296"/>
      <c r="F8" s="296"/>
      <c r="G8" s="296"/>
      <c r="H8" s="296"/>
      <c r="I8" s="296"/>
    </row>
    <row r="9" spans="1:74" ht="13.5" customHeight="1" x14ac:dyDescent="0.2">
      <c r="I9" s="297" t="s">
        <v>2</v>
      </c>
    </row>
    <row r="10" spans="1:74" ht="13.5" customHeight="1" x14ac:dyDescent="0.2">
      <c r="A10" s="298"/>
      <c r="B10" s="298"/>
      <c r="C10" s="298"/>
      <c r="D10" s="299"/>
      <c r="E10" s="299"/>
      <c r="F10" s="300" t="s">
        <v>333</v>
      </c>
      <c r="G10" s="301"/>
      <c r="H10" s="301"/>
      <c r="I10" s="302"/>
    </row>
    <row r="11" spans="1:74" ht="33.75" customHeight="1" x14ac:dyDescent="0.2">
      <c r="A11" s="303" t="s">
        <v>297</v>
      </c>
      <c r="B11" s="303" t="s">
        <v>334</v>
      </c>
      <c r="C11" s="303" t="s">
        <v>6</v>
      </c>
      <c r="D11" s="304" t="s">
        <v>335</v>
      </c>
      <c r="E11" s="304" t="s">
        <v>336</v>
      </c>
      <c r="F11" s="299"/>
      <c r="G11" s="300" t="s">
        <v>337</v>
      </c>
      <c r="H11" s="302"/>
      <c r="I11" s="299"/>
    </row>
    <row r="12" spans="1:74" ht="39.75" customHeight="1" x14ac:dyDescent="0.2">
      <c r="A12" s="305"/>
      <c r="B12" s="305"/>
      <c r="C12" s="305"/>
      <c r="D12" s="305"/>
      <c r="E12" s="306"/>
      <c r="F12" s="307" t="s">
        <v>338</v>
      </c>
      <c r="G12" s="308" t="s">
        <v>339</v>
      </c>
      <c r="H12" s="308" t="s">
        <v>340</v>
      </c>
      <c r="I12" s="307" t="s">
        <v>341</v>
      </c>
    </row>
    <row r="13" spans="1:74" ht="10.5" customHeight="1" x14ac:dyDescent="0.2">
      <c r="A13" s="309">
        <v>1</v>
      </c>
      <c r="B13" s="309">
        <v>2</v>
      </c>
      <c r="C13" s="309">
        <v>3</v>
      </c>
      <c r="D13" s="309">
        <v>4</v>
      </c>
      <c r="E13" s="309">
        <v>5</v>
      </c>
      <c r="F13" s="309">
        <v>6</v>
      </c>
      <c r="G13" s="309">
        <v>7</v>
      </c>
      <c r="H13" s="309">
        <v>8</v>
      </c>
      <c r="I13" s="309">
        <v>9</v>
      </c>
    </row>
    <row r="14" spans="1:74" s="313" customFormat="1" ht="20.25" customHeight="1" x14ac:dyDescent="0.2">
      <c r="A14" s="310">
        <v>710</v>
      </c>
      <c r="B14" s="310">
        <v>71035</v>
      </c>
      <c r="C14" s="310">
        <v>2020</v>
      </c>
      <c r="D14" s="311">
        <f>20000+45000+20000</f>
        <v>85000</v>
      </c>
      <c r="E14" s="311">
        <f t="shared" ref="E14:E19" si="0">SUM(F14,I14)</f>
        <v>85000</v>
      </c>
      <c r="F14" s="311">
        <f>20000+45000+20000</f>
        <v>85000</v>
      </c>
      <c r="G14" s="311">
        <v>0</v>
      </c>
      <c r="H14" s="311">
        <v>0</v>
      </c>
      <c r="I14" s="311">
        <v>0</v>
      </c>
      <c r="J14" s="312"/>
      <c r="K14" s="312"/>
      <c r="L14" s="312"/>
      <c r="M14" s="312"/>
      <c r="N14" s="312"/>
      <c r="O14" s="312"/>
      <c r="P14" s="312"/>
      <c r="Q14" s="312"/>
      <c r="R14" s="312"/>
      <c r="S14" s="312"/>
      <c r="T14" s="312"/>
      <c r="U14" s="312"/>
      <c r="V14" s="312"/>
      <c r="W14" s="312"/>
      <c r="X14" s="312"/>
      <c r="Y14" s="312"/>
      <c r="Z14" s="312"/>
      <c r="AA14" s="312"/>
      <c r="AB14" s="312"/>
      <c r="AC14" s="312"/>
      <c r="AD14" s="312"/>
      <c r="AE14" s="312"/>
      <c r="AF14" s="312"/>
      <c r="AG14" s="312"/>
      <c r="AH14" s="312"/>
      <c r="AI14" s="312"/>
      <c r="AJ14" s="312"/>
      <c r="AK14" s="312"/>
      <c r="AL14" s="312"/>
      <c r="AM14" s="312"/>
      <c r="AN14" s="312"/>
      <c r="AO14" s="312"/>
      <c r="AP14" s="312"/>
      <c r="AQ14" s="312"/>
      <c r="AR14" s="312"/>
      <c r="AS14" s="312"/>
      <c r="AT14" s="312"/>
      <c r="AU14" s="312"/>
      <c r="AV14" s="312"/>
      <c r="AW14" s="312"/>
      <c r="AX14" s="312"/>
      <c r="AY14" s="312"/>
      <c r="AZ14" s="312"/>
      <c r="BA14" s="312"/>
      <c r="BB14" s="312"/>
      <c r="BC14" s="312"/>
      <c r="BD14" s="312"/>
      <c r="BE14" s="312"/>
      <c r="BF14" s="312"/>
      <c r="BG14" s="312"/>
      <c r="BH14" s="312"/>
      <c r="BI14" s="312"/>
      <c r="BJ14" s="312"/>
      <c r="BK14" s="312"/>
      <c r="BL14" s="312"/>
      <c r="BM14" s="312"/>
      <c r="BN14" s="312"/>
      <c r="BO14" s="312"/>
      <c r="BP14" s="312"/>
      <c r="BQ14" s="312"/>
      <c r="BR14" s="312"/>
      <c r="BS14" s="312"/>
      <c r="BT14" s="312"/>
      <c r="BU14" s="312"/>
      <c r="BV14" s="312"/>
    </row>
    <row r="15" spans="1:74" s="313" customFormat="1" ht="20.25" customHeight="1" x14ac:dyDescent="0.2">
      <c r="A15" s="310">
        <v>750</v>
      </c>
      <c r="B15" s="310">
        <v>75023</v>
      </c>
      <c r="C15" s="314">
        <v>2020</v>
      </c>
      <c r="D15" s="315">
        <f>657370-3.09</f>
        <v>657366.91</v>
      </c>
      <c r="E15" s="311">
        <f t="shared" si="0"/>
        <v>657366.91</v>
      </c>
      <c r="F15" s="311">
        <f>657370-3.09</f>
        <v>657366.91</v>
      </c>
      <c r="G15" s="311">
        <f>42370-126.09+123</f>
        <v>42366.91</v>
      </c>
      <c r="H15" s="311">
        <v>0</v>
      </c>
      <c r="I15" s="311">
        <v>0</v>
      </c>
      <c r="J15" s="312"/>
      <c r="K15" s="312"/>
      <c r="L15" s="312"/>
      <c r="M15" s="312"/>
      <c r="N15" s="312"/>
      <c r="O15" s="312"/>
      <c r="P15" s="312"/>
      <c r="Q15" s="312"/>
      <c r="R15" s="312"/>
      <c r="S15" s="312"/>
      <c r="T15" s="312"/>
      <c r="U15" s="312"/>
      <c r="V15" s="312"/>
      <c r="W15" s="312"/>
      <c r="X15" s="312"/>
      <c r="Y15" s="312"/>
      <c r="Z15" s="312"/>
      <c r="AA15" s="312"/>
      <c r="AB15" s="312"/>
      <c r="AC15" s="312"/>
      <c r="AD15" s="312"/>
      <c r="AE15" s="312"/>
      <c r="AF15" s="312"/>
      <c r="AG15" s="312"/>
      <c r="AH15" s="312"/>
      <c r="AI15" s="312"/>
      <c r="AJ15" s="312"/>
      <c r="AK15" s="312"/>
      <c r="AL15" s="312"/>
      <c r="AM15" s="312"/>
      <c r="AN15" s="312"/>
      <c r="AO15" s="312"/>
      <c r="AP15" s="312"/>
      <c r="AQ15" s="312"/>
      <c r="AR15" s="312"/>
      <c r="AS15" s="312"/>
      <c r="AT15" s="312"/>
      <c r="AU15" s="312"/>
      <c r="AV15" s="312"/>
      <c r="AW15" s="312"/>
      <c r="AX15" s="312"/>
      <c r="AY15" s="312"/>
      <c r="AZ15" s="312"/>
      <c r="BA15" s="312"/>
      <c r="BB15" s="312"/>
      <c r="BC15" s="312"/>
      <c r="BD15" s="312"/>
      <c r="BE15" s="312"/>
      <c r="BF15" s="312"/>
      <c r="BG15" s="312"/>
      <c r="BH15" s="312"/>
      <c r="BI15" s="312"/>
      <c r="BJ15" s="312"/>
      <c r="BK15" s="312"/>
      <c r="BL15" s="312"/>
      <c r="BM15" s="312"/>
      <c r="BN15" s="312"/>
      <c r="BO15" s="312"/>
      <c r="BP15" s="312"/>
      <c r="BQ15" s="312"/>
      <c r="BR15" s="312"/>
      <c r="BS15" s="312"/>
      <c r="BT15" s="312"/>
      <c r="BU15" s="312"/>
      <c r="BV15" s="312"/>
    </row>
    <row r="16" spans="1:74" s="313" customFormat="1" ht="20.25" customHeight="1" x14ac:dyDescent="0.2">
      <c r="A16" s="310">
        <v>752</v>
      </c>
      <c r="B16" s="310">
        <v>75224</v>
      </c>
      <c r="C16" s="314">
        <v>2120</v>
      </c>
      <c r="D16" s="315">
        <f>42500+2500</f>
        <v>45000</v>
      </c>
      <c r="E16" s="311">
        <f t="shared" si="0"/>
        <v>45000</v>
      </c>
      <c r="F16" s="311">
        <f>42500+2500</f>
        <v>45000</v>
      </c>
      <c r="G16" s="311">
        <f>42500+2500-6800</f>
        <v>38200</v>
      </c>
      <c r="H16" s="311">
        <v>0</v>
      </c>
      <c r="I16" s="311">
        <v>0</v>
      </c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2"/>
      <c r="AA16" s="31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  <c r="AL16" s="312"/>
      <c r="AM16" s="312"/>
      <c r="AN16" s="312"/>
      <c r="AO16" s="312"/>
      <c r="AP16" s="312"/>
      <c r="AQ16" s="312"/>
      <c r="AR16" s="312"/>
      <c r="AS16" s="312"/>
      <c r="AT16" s="312"/>
      <c r="AU16" s="312"/>
      <c r="AV16" s="312"/>
      <c r="AW16" s="312"/>
      <c r="AX16" s="312"/>
      <c r="AY16" s="312"/>
      <c r="AZ16" s="312"/>
      <c r="BA16" s="312"/>
      <c r="BB16" s="312"/>
      <c r="BC16" s="312"/>
      <c r="BD16" s="312"/>
      <c r="BE16" s="312"/>
      <c r="BF16" s="312"/>
      <c r="BG16" s="312"/>
      <c r="BH16" s="312"/>
      <c r="BI16" s="312"/>
      <c r="BJ16" s="312"/>
      <c r="BK16" s="312"/>
      <c r="BL16" s="312"/>
      <c r="BM16" s="312"/>
      <c r="BN16" s="312"/>
      <c r="BO16" s="312"/>
      <c r="BP16" s="312"/>
      <c r="BQ16" s="312"/>
      <c r="BR16" s="312"/>
      <c r="BS16" s="312"/>
      <c r="BT16" s="312"/>
      <c r="BU16" s="312"/>
      <c r="BV16" s="312"/>
    </row>
    <row r="17" spans="1:74" s="313" customFormat="1" ht="20.25" customHeight="1" x14ac:dyDescent="0.2">
      <c r="A17" s="310">
        <v>801</v>
      </c>
      <c r="B17" s="310">
        <v>80146</v>
      </c>
      <c r="C17" s="314">
        <v>2120</v>
      </c>
      <c r="D17" s="315">
        <f>328000+65007</f>
        <v>393007</v>
      </c>
      <c r="E17" s="311">
        <f t="shared" si="0"/>
        <v>393007</v>
      </c>
      <c r="F17" s="311">
        <f>328000+65007</f>
        <v>393007</v>
      </c>
      <c r="G17" s="311">
        <f>313530+12000+307+50000</f>
        <v>375837</v>
      </c>
      <c r="H17" s="311">
        <v>0</v>
      </c>
      <c r="I17" s="311">
        <v>0</v>
      </c>
      <c r="J17" s="312"/>
      <c r="K17" s="316"/>
      <c r="L17" s="312"/>
      <c r="M17" s="312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312"/>
      <c r="AA17" s="31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2"/>
      <c r="AU17" s="312"/>
      <c r="AV17" s="312"/>
      <c r="AW17" s="312"/>
      <c r="AX17" s="312"/>
      <c r="AY17" s="312"/>
      <c r="AZ17" s="312"/>
      <c r="BA17" s="312"/>
      <c r="BB17" s="312"/>
      <c r="BC17" s="312"/>
      <c r="BD17" s="312"/>
      <c r="BE17" s="312"/>
      <c r="BF17" s="312"/>
      <c r="BG17" s="312"/>
      <c r="BH17" s="312"/>
      <c r="BI17" s="312"/>
      <c r="BJ17" s="312"/>
      <c r="BK17" s="312"/>
      <c r="BL17" s="312"/>
      <c r="BM17" s="312"/>
      <c r="BN17" s="312"/>
      <c r="BO17" s="312"/>
      <c r="BP17" s="312"/>
      <c r="BQ17" s="312"/>
      <c r="BR17" s="312"/>
      <c r="BS17" s="312"/>
      <c r="BT17" s="312"/>
      <c r="BU17" s="312"/>
      <c r="BV17" s="312"/>
    </row>
    <row r="18" spans="1:74" s="313" customFormat="1" ht="20.25" customHeight="1" x14ac:dyDescent="0.2">
      <c r="A18" s="310">
        <v>801</v>
      </c>
      <c r="B18" s="310">
        <v>80195</v>
      </c>
      <c r="C18" s="314">
        <v>2020</v>
      </c>
      <c r="D18" s="315">
        <v>15000</v>
      </c>
      <c r="E18" s="311">
        <f t="shared" si="0"/>
        <v>15000</v>
      </c>
      <c r="F18" s="311">
        <v>15000</v>
      </c>
      <c r="G18" s="311">
        <v>0</v>
      </c>
      <c r="H18" s="311">
        <v>0</v>
      </c>
      <c r="I18" s="311">
        <v>0</v>
      </c>
      <c r="J18" s="312"/>
      <c r="K18" s="312"/>
      <c r="L18" s="312"/>
      <c r="M18" s="312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312"/>
      <c r="AA18" s="31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  <c r="AL18" s="312"/>
      <c r="AM18" s="312"/>
      <c r="AN18" s="312"/>
      <c r="AO18" s="312"/>
      <c r="AP18" s="312"/>
      <c r="AQ18" s="312"/>
      <c r="AR18" s="312"/>
      <c r="AS18" s="312"/>
      <c r="AT18" s="312"/>
      <c r="AU18" s="312"/>
      <c r="AV18" s="312"/>
      <c r="AW18" s="312"/>
      <c r="AX18" s="312"/>
      <c r="AY18" s="312"/>
      <c r="AZ18" s="312"/>
      <c r="BA18" s="312"/>
      <c r="BB18" s="312"/>
      <c r="BC18" s="312"/>
      <c r="BD18" s="312"/>
      <c r="BE18" s="312"/>
      <c r="BF18" s="312"/>
      <c r="BG18" s="312"/>
      <c r="BH18" s="312"/>
      <c r="BI18" s="312"/>
      <c r="BJ18" s="312"/>
      <c r="BK18" s="312"/>
      <c r="BL18" s="312"/>
      <c r="BM18" s="312"/>
      <c r="BN18" s="312"/>
      <c r="BO18" s="312"/>
      <c r="BP18" s="312"/>
      <c r="BQ18" s="312"/>
      <c r="BR18" s="312"/>
      <c r="BS18" s="312"/>
      <c r="BT18" s="312"/>
      <c r="BU18" s="312"/>
      <c r="BV18" s="312"/>
    </row>
    <row r="19" spans="1:74" s="313" customFormat="1" ht="20.25" customHeight="1" x14ac:dyDescent="0.2">
      <c r="A19" s="310">
        <v>801</v>
      </c>
      <c r="B19" s="310">
        <v>80195</v>
      </c>
      <c r="C19" s="314">
        <v>2120</v>
      </c>
      <c r="D19" s="315">
        <f>349074+27630.4</f>
        <v>376704.4</v>
      </c>
      <c r="E19" s="311">
        <f t="shared" si="0"/>
        <v>376704.4</v>
      </c>
      <c r="F19" s="311">
        <f>349074+27630.4</f>
        <v>376704.4</v>
      </c>
      <c r="G19" s="311">
        <v>317340</v>
      </c>
      <c r="H19" s="311">
        <v>0</v>
      </c>
      <c r="I19" s="311">
        <v>0</v>
      </c>
      <c r="J19" s="312"/>
      <c r="K19" s="312"/>
      <c r="L19" s="312"/>
      <c r="M19" s="312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312"/>
      <c r="AA19" s="312"/>
      <c r="AB19" s="312"/>
      <c r="AC19" s="312"/>
      <c r="AD19" s="312"/>
      <c r="AE19" s="312"/>
      <c r="AF19" s="312"/>
      <c r="AG19" s="312"/>
      <c r="AH19" s="312"/>
      <c r="AI19" s="312"/>
      <c r="AJ19" s="312"/>
      <c r="AK19" s="312"/>
      <c r="AL19" s="312"/>
      <c r="AM19" s="312"/>
      <c r="AN19" s="312"/>
      <c r="AO19" s="312"/>
      <c r="AP19" s="312"/>
      <c r="AQ19" s="312"/>
      <c r="AR19" s="312"/>
      <c r="AS19" s="312"/>
      <c r="AT19" s="312"/>
      <c r="AU19" s="312"/>
      <c r="AV19" s="312"/>
      <c r="AW19" s="312"/>
      <c r="AX19" s="312"/>
      <c r="AY19" s="312"/>
      <c r="AZ19" s="312"/>
      <c r="BA19" s="312"/>
      <c r="BB19" s="312"/>
      <c r="BC19" s="312"/>
      <c r="BD19" s="312"/>
      <c r="BE19" s="312"/>
      <c r="BF19" s="312"/>
      <c r="BG19" s="312"/>
      <c r="BH19" s="312"/>
      <c r="BI19" s="312"/>
      <c r="BJ19" s="312"/>
      <c r="BK19" s="312"/>
      <c r="BL19" s="312"/>
      <c r="BM19" s="312"/>
      <c r="BN19" s="312"/>
      <c r="BO19" s="312"/>
      <c r="BP19" s="312"/>
      <c r="BQ19" s="312"/>
      <c r="BR19" s="312"/>
      <c r="BS19" s="312"/>
      <c r="BT19" s="312"/>
      <c r="BU19" s="312"/>
      <c r="BV19" s="312"/>
    </row>
    <row r="20" spans="1:74" s="313" customFormat="1" ht="23.25" customHeight="1" x14ac:dyDescent="0.2">
      <c r="A20" s="623" t="s">
        <v>342</v>
      </c>
      <c r="B20" s="624"/>
      <c r="C20" s="625"/>
      <c r="D20" s="597">
        <f t="shared" ref="D20:I20" si="1">SUM(D14:D19)</f>
        <v>1572078.31</v>
      </c>
      <c r="E20" s="597">
        <f t="shared" si="1"/>
        <v>1572078.31</v>
      </c>
      <c r="F20" s="597">
        <f t="shared" si="1"/>
        <v>1572078.31</v>
      </c>
      <c r="G20" s="597">
        <f t="shared" si="1"/>
        <v>773743.91</v>
      </c>
      <c r="H20" s="597">
        <f t="shared" si="1"/>
        <v>0</v>
      </c>
      <c r="I20" s="597">
        <f t="shared" si="1"/>
        <v>0</v>
      </c>
      <c r="J20" s="312"/>
      <c r="K20" s="312"/>
      <c r="L20" s="312"/>
      <c r="M20" s="312"/>
      <c r="N20" s="312"/>
      <c r="O20" s="312"/>
      <c r="P20" s="312"/>
      <c r="Q20" s="312"/>
      <c r="R20" s="312"/>
      <c r="S20" s="312"/>
      <c r="T20" s="312"/>
      <c r="U20" s="312"/>
      <c r="V20" s="312"/>
      <c r="W20" s="312"/>
      <c r="X20" s="312"/>
      <c r="Y20" s="312"/>
      <c r="Z20" s="312"/>
      <c r="AA20" s="312"/>
      <c r="AB20" s="312"/>
      <c r="AC20" s="312"/>
      <c r="AD20" s="312"/>
      <c r="AE20" s="312"/>
      <c r="AF20" s="312"/>
      <c r="AG20" s="312"/>
      <c r="AH20" s="312"/>
      <c r="AI20" s="312"/>
      <c r="AJ20" s="312"/>
      <c r="AK20" s="312"/>
      <c r="AL20" s="312"/>
      <c r="AM20" s="312"/>
      <c r="AN20" s="312"/>
      <c r="AO20" s="312"/>
      <c r="AP20" s="312"/>
      <c r="AQ20" s="312"/>
      <c r="AR20" s="312"/>
      <c r="AS20" s="312"/>
      <c r="AT20" s="312"/>
      <c r="AU20" s="312"/>
      <c r="AV20" s="312"/>
      <c r="AW20" s="312"/>
      <c r="AX20" s="312"/>
      <c r="AY20" s="312"/>
      <c r="AZ20" s="312"/>
      <c r="BA20" s="312"/>
      <c r="BB20" s="312"/>
      <c r="BC20" s="312"/>
      <c r="BD20" s="312"/>
      <c r="BE20" s="312"/>
      <c r="BF20" s="312"/>
      <c r="BG20" s="312"/>
      <c r="BH20" s="312"/>
      <c r="BI20" s="312"/>
      <c r="BJ20" s="312"/>
      <c r="BK20" s="312"/>
      <c r="BL20" s="312"/>
      <c r="BM20" s="312"/>
      <c r="BN20" s="312"/>
      <c r="BO20" s="312"/>
      <c r="BP20" s="312"/>
      <c r="BQ20" s="312"/>
      <c r="BR20" s="312"/>
      <c r="BS20" s="312"/>
      <c r="BT20" s="312"/>
      <c r="BU20" s="312"/>
      <c r="BV20" s="312"/>
    </row>
    <row r="21" spans="1:74" ht="12" customHeight="1" x14ac:dyDescent="0.2"/>
  </sheetData>
  <pageMargins left="0.39370078740157483" right="0.39370078740157483" top="0.74803149606299213" bottom="0.74803149606299213" header="0.31496062992125984" footer="0.31496062992125984"/>
  <pageSetup paperSize="9" firstPageNumber="41" orientation="portrait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0E8BA-3077-47F9-924B-E66BDC48BF6C}">
  <sheetPr>
    <tabColor rgb="FFCC00FF"/>
  </sheetPr>
  <dimension ref="A1:H215"/>
  <sheetViews>
    <sheetView zoomScale="140" zoomScaleNormal="140" workbookViewId="0"/>
  </sheetViews>
  <sheetFormatPr defaultRowHeight="12" x14ac:dyDescent="0.2"/>
  <cols>
    <col min="1" max="1" width="4.42578125" style="317" customWidth="1"/>
    <col min="2" max="2" width="5.7109375" style="317" customWidth="1"/>
    <col min="3" max="3" width="8.42578125" style="317" customWidth="1"/>
    <col min="4" max="4" width="6.5703125" style="318" customWidth="1"/>
    <col min="5" max="5" width="47.42578125" style="317" customWidth="1"/>
    <col min="6" max="6" width="21.42578125" style="317" customWidth="1"/>
    <col min="7" max="7" width="9.140625" style="317"/>
    <col min="8" max="8" width="12.28515625" style="317" customWidth="1"/>
    <col min="9" max="256" width="9.140625" style="317"/>
    <col min="257" max="257" width="4.42578125" style="317" customWidth="1"/>
    <col min="258" max="258" width="5.7109375" style="317" customWidth="1"/>
    <col min="259" max="259" width="8.42578125" style="317" customWidth="1"/>
    <col min="260" max="260" width="6.5703125" style="317" customWidth="1"/>
    <col min="261" max="261" width="47.42578125" style="317" customWidth="1"/>
    <col min="262" max="262" width="21.42578125" style="317" customWidth="1"/>
    <col min="263" max="263" width="9.140625" style="317"/>
    <col min="264" max="264" width="12.28515625" style="317" customWidth="1"/>
    <col min="265" max="512" width="9.140625" style="317"/>
    <col min="513" max="513" width="4.42578125" style="317" customWidth="1"/>
    <col min="514" max="514" width="5.7109375" style="317" customWidth="1"/>
    <col min="515" max="515" width="8.42578125" style="317" customWidth="1"/>
    <col min="516" max="516" width="6.5703125" style="317" customWidth="1"/>
    <col min="517" max="517" width="47.42578125" style="317" customWidth="1"/>
    <col min="518" max="518" width="21.42578125" style="317" customWidth="1"/>
    <col min="519" max="519" width="9.140625" style="317"/>
    <col min="520" max="520" width="12.28515625" style="317" customWidth="1"/>
    <col min="521" max="768" width="9.140625" style="317"/>
    <col min="769" max="769" width="4.42578125" style="317" customWidth="1"/>
    <col min="770" max="770" width="5.7109375" style="317" customWidth="1"/>
    <col min="771" max="771" width="8.42578125" style="317" customWidth="1"/>
    <col min="772" max="772" width="6.5703125" style="317" customWidth="1"/>
    <col min="773" max="773" width="47.42578125" style="317" customWidth="1"/>
    <col min="774" max="774" width="21.42578125" style="317" customWidth="1"/>
    <col min="775" max="775" width="9.140625" style="317"/>
    <col min="776" max="776" width="12.28515625" style="317" customWidth="1"/>
    <col min="777" max="1024" width="9.140625" style="317"/>
    <col min="1025" max="1025" width="4.42578125" style="317" customWidth="1"/>
    <col min="1026" max="1026" width="5.7109375" style="317" customWidth="1"/>
    <col min="1027" max="1027" width="8.42578125" style="317" customWidth="1"/>
    <col min="1028" max="1028" width="6.5703125" style="317" customWidth="1"/>
    <col min="1029" max="1029" width="47.42578125" style="317" customWidth="1"/>
    <col min="1030" max="1030" width="21.42578125" style="317" customWidth="1"/>
    <col min="1031" max="1031" width="9.140625" style="317"/>
    <col min="1032" max="1032" width="12.28515625" style="317" customWidth="1"/>
    <col min="1033" max="1280" width="9.140625" style="317"/>
    <col min="1281" max="1281" width="4.42578125" style="317" customWidth="1"/>
    <col min="1282" max="1282" width="5.7109375" style="317" customWidth="1"/>
    <col min="1283" max="1283" width="8.42578125" style="317" customWidth="1"/>
    <col min="1284" max="1284" width="6.5703125" style="317" customWidth="1"/>
    <col min="1285" max="1285" width="47.42578125" style="317" customWidth="1"/>
    <col min="1286" max="1286" width="21.42578125" style="317" customWidth="1"/>
    <col min="1287" max="1287" width="9.140625" style="317"/>
    <col min="1288" max="1288" width="12.28515625" style="317" customWidth="1"/>
    <col min="1289" max="1536" width="9.140625" style="317"/>
    <col min="1537" max="1537" width="4.42578125" style="317" customWidth="1"/>
    <col min="1538" max="1538" width="5.7109375" style="317" customWidth="1"/>
    <col min="1539" max="1539" width="8.42578125" style="317" customWidth="1"/>
    <col min="1540" max="1540" width="6.5703125" style="317" customWidth="1"/>
    <col min="1541" max="1541" width="47.42578125" style="317" customWidth="1"/>
    <col min="1542" max="1542" width="21.42578125" style="317" customWidth="1"/>
    <col min="1543" max="1543" width="9.140625" style="317"/>
    <col min="1544" max="1544" width="12.28515625" style="317" customWidth="1"/>
    <col min="1545" max="1792" width="9.140625" style="317"/>
    <col min="1793" max="1793" width="4.42578125" style="317" customWidth="1"/>
    <col min="1794" max="1794" width="5.7109375" style="317" customWidth="1"/>
    <col min="1795" max="1795" width="8.42578125" style="317" customWidth="1"/>
    <col min="1796" max="1796" width="6.5703125" style="317" customWidth="1"/>
    <col min="1797" max="1797" width="47.42578125" style="317" customWidth="1"/>
    <col min="1798" max="1798" width="21.42578125" style="317" customWidth="1"/>
    <col min="1799" max="1799" width="9.140625" style="317"/>
    <col min="1800" max="1800" width="12.28515625" style="317" customWidth="1"/>
    <col min="1801" max="2048" width="9.140625" style="317"/>
    <col min="2049" max="2049" width="4.42578125" style="317" customWidth="1"/>
    <col min="2050" max="2050" width="5.7109375" style="317" customWidth="1"/>
    <col min="2051" max="2051" width="8.42578125" style="317" customWidth="1"/>
    <col min="2052" max="2052" width="6.5703125" style="317" customWidth="1"/>
    <col min="2053" max="2053" width="47.42578125" style="317" customWidth="1"/>
    <col min="2054" max="2054" width="21.42578125" style="317" customWidth="1"/>
    <col min="2055" max="2055" width="9.140625" style="317"/>
    <col min="2056" max="2056" width="12.28515625" style="317" customWidth="1"/>
    <col min="2057" max="2304" width="9.140625" style="317"/>
    <col min="2305" max="2305" width="4.42578125" style="317" customWidth="1"/>
    <col min="2306" max="2306" width="5.7109375" style="317" customWidth="1"/>
    <col min="2307" max="2307" width="8.42578125" style="317" customWidth="1"/>
    <col min="2308" max="2308" width="6.5703125" style="317" customWidth="1"/>
    <col min="2309" max="2309" width="47.42578125" style="317" customWidth="1"/>
    <col min="2310" max="2310" width="21.42578125" style="317" customWidth="1"/>
    <col min="2311" max="2311" width="9.140625" style="317"/>
    <col min="2312" max="2312" width="12.28515625" style="317" customWidth="1"/>
    <col min="2313" max="2560" width="9.140625" style="317"/>
    <col min="2561" max="2561" width="4.42578125" style="317" customWidth="1"/>
    <col min="2562" max="2562" width="5.7109375" style="317" customWidth="1"/>
    <col min="2563" max="2563" width="8.42578125" style="317" customWidth="1"/>
    <col min="2564" max="2564" width="6.5703125" style="317" customWidth="1"/>
    <col min="2565" max="2565" width="47.42578125" style="317" customWidth="1"/>
    <col min="2566" max="2566" width="21.42578125" style="317" customWidth="1"/>
    <col min="2567" max="2567" width="9.140625" style="317"/>
    <col min="2568" max="2568" width="12.28515625" style="317" customWidth="1"/>
    <col min="2569" max="2816" width="9.140625" style="317"/>
    <col min="2817" max="2817" width="4.42578125" style="317" customWidth="1"/>
    <col min="2818" max="2818" width="5.7109375" style="317" customWidth="1"/>
    <col min="2819" max="2819" width="8.42578125" style="317" customWidth="1"/>
    <col min="2820" max="2820" width="6.5703125" style="317" customWidth="1"/>
    <col min="2821" max="2821" width="47.42578125" style="317" customWidth="1"/>
    <col min="2822" max="2822" width="21.42578125" style="317" customWidth="1"/>
    <col min="2823" max="2823" width="9.140625" style="317"/>
    <col min="2824" max="2824" width="12.28515625" style="317" customWidth="1"/>
    <col min="2825" max="3072" width="9.140625" style="317"/>
    <col min="3073" max="3073" width="4.42578125" style="317" customWidth="1"/>
    <col min="3074" max="3074" width="5.7109375" style="317" customWidth="1"/>
    <col min="3075" max="3075" width="8.42578125" style="317" customWidth="1"/>
    <col min="3076" max="3076" width="6.5703125" style="317" customWidth="1"/>
    <col min="3077" max="3077" width="47.42578125" style="317" customWidth="1"/>
    <col min="3078" max="3078" width="21.42578125" style="317" customWidth="1"/>
    <col min="3079" max="3079" width="9.140625" style="317"/>
    <col min="3080" max="3080" width="12.28515625" style="317" customWidth="1"/>
    <col min="3081" max="3328" width="9.140625" style="317"/>
    <col min="3329" max="3329" width="4.42578125" style="317" customWidth="1"/>
    <col min="3330" max="3330" width="5.7109375" style="317" customWidth="1"/>
    <col min="3331" max="3331" width="8.42578125" style="317" customWidth="1"/>
    <col min="3332" max="3332" width="6.5703125" style="317" customWidth="1"/>
    <col min="3333" max="3333" width="47.42578125" style="317" customWidth="1"/>
    <col min="3334" max="3334" width="21.42578125" style="317" customWidth="1"/>
    <col min="3335" max="3335" width="9.140625" style="317"/>
    <col min="3336" max="3336" width="12.28515625" style="317" customWidth="1"/>
    <col min="3337" max="3584" width="9.140625" style="317"/>
    <col min="3585" max="3585" width="4.42578125" style="317" customWidth="1"/>
    <col min="3586" max="3586" width="5.7109375" style="317" customWidth="1"/>
    <col min="3587" max="3587" width="8.42578125" style="317" customWidth="1"/>
    <col min="3588" max="3588" width="6.5703125" style="317" customWidth="1"/>
    <col min="3589" max="3589" width="47.42578125" style="317" customWidth="1"/>
    <col min="3590" max="3590" width="21.42578125" style="317" customWidth="1"/>
    <col min="3591" max="3591" width="9.140625" style="317"/>
    <col min="3592" max="3592" width="12.28515625" style="317" customWidth="1"/>
    <col min="3593" max="3840" width="9.140625" style="317"/>
    <col min="3841" max="3841" width="4.42578125" style="317" customWidth="1"/>
    <col min="3842" max="3842" width="5.7109375" style="317" customWidth="1"/>
    <col min="3843" max="3843" width="8.42578125" style="317" customWidth="1"/>
    <col min="3844" max="3844" width="6.5703125" style="317" customWidth="1"/>
    <col min="3845" max="3845" width="47.42578125" style="317" customWidth="1"/>
    <col min="3846" max="3846" width="21.42578125" style="317" customWidth="1"/>
    <col min="3847" max="3847" width="9.140625" style="317"/>
    <col min="3848" max="3848" width="12.28515625" style="317" customWidth="1"/>
    <col min="3849" max="4096" width="9.140625" style="317"/>
    <col min="4097" max="4097" width="4.42578125" style="317" customWidth="1"/>
    <col min="4098" max="4098" width="5.7109375" style="317" customWidth="1"/>
    <col min="4099" max="4099" width="8.42578125" style="317" customWidth="1"/>
    <col min="4100" max="4100" width="6.5703125" style="317" customWidth="1"/>
    <col min="4101" max="4101" width="47.42578125" style="317" customWidth="1"/>
    <col min="4102" max="4102" width="21.42578125" style="317" customWidth="1"/>
    <col min="4103" max="4103" width="9.140625" style="317"/>
    <col min="4104" max="4104" width="12.28515625" style="317" customWidth="1"/>
    <col min="4105" max="4352" width="9.140625" style="317"/>
    <col min="4353" max="4353" width="4.42578125" style="317" customWidth="1"/>
    <col min="4354" max="4354" width="5.7109375" style="317" customWidth="1"/>
    <col min="4355" max="4355" width="8.42578125" style="317" customWidth="1"/>
    <col min="4356" max="4356" width="6.5703125" style="317" customWidth="1"/>
    <col min="4357" max="4357" width="47.42578125" style="317" customWidth="1"/>
    <col min="4358" max="4358" width="21.42578125" style="317" customWidth="1"/>
    <col min="4359" max="4359" width="9.140625" style="317"/>
    <col min="4360" max="4360" width="12.28515625" style="317" customWidth="1"/>
    <col min="4361" max="4608" width="9.140625" style="317"/>
    <col min="4609" max="4609" width="4.42578125" style="317" customWidth="1"/>
    <col min="4610" max="4610" width="5.7109375" style="317" customWidth="1"/>
    <col min="4611" max="4611" width="8.42578125" style="317" customWidth="1"/>
    <col min="4612" max="4612" width="6.5703125" style="317" customWidth="1"/>
    <col min="4613" max="4613" width="47.42578125" style="317" customWidth="1"/>
    <col min="4614" max="4614" width="21.42578125" style="317" customWidth="1"/>
    <col min="4615" max="4615" width="9.140625" style="317"/>
    <col min="4616" max="4616" width="12.28515625" style="317" customWidth="1"/>
    <col min="4617" max="4864" width="9.140625" style="317"/>
    <col min="4865" max="4865" width="4.42578125" style="317" customWidth="1"/>
    <col min="4866" max="4866" width="5.7109375" style="317" customWidth="1"/>
    <col min="4867" max="4867" width="8.42578125" style="317" customWidth="1"/>
    <col min="4868" max="4868" width="6.5703125" style="317" customWidth="1"/>
    <col min="4869" max="4869" width="47.42578125" style="317" customWidth="1"/>
    <col min="4870" max="4870" width="21.42578125" style="317" customWidth="1"/>
    <col min="4871" max="4871" width="9.140625" style="317"/>
    <col min="4872" max="4872" width="12.28515625" style="317" customWidth="1"/>
    <col min="4873" max="5120" width="9.140625" style="317"/>
    <col min="5121" max="5121" width="4.42578125" style="317" customWidth="1"/>
    <col min="5122" max="5122" width="5.7109375" style="317" customWidth="1"/>
    <col min="5123" max="5123" width="8.42578125" style="317" customWidth="1"/>
    <col min="5124" max="5124" width="6.5703125" style="317" customWidth="1"/>
    <col min="5125" max="5125" width="47.42578125" style="317" customWidth="1"/>
    <col min="5126" max="5126" width="21.42578125" style="317" customWidth="1"/>
    <col min="5127" max="5127" width="9.140625" style="317"/>
    <col min="5128" max="5128" width="12.28515625" style="317" customWidth="1"/>
    <col min="5129" max="5376" width="9.140625" style="317"/>
    <col min="5377" max="5377" width="4.42578125" style="317" customWidth="1"/>
    <col min="5378" max="5378" width="5.7109375" style="317" customWidth="1"/>
    <col min="5379" max="5379" width="8.42578125" style="317" customWidth="1"/>
    <col min="5380" max="5380" width="6.5703125" style="317" customWidth="1"/>
    <col min="5381" max="5381" width="47.42578125" style="317" customWidth="1"/>
    <col min="5382" max="5382" width="21.42578125" style="317" customWidth="1"/>
    <col min="5383" max="5383" width="9.140625" style="317"/>
    <col min="5384" max="5384" width="12.28515625" style="317" customWidth="1"/>
    <col min="5385" max="5632" width="9.140625" style="317"/>
    <col min="5633" max="5633" width="4.42578125" style="317" customWidth="1"/>
    <col min="5634" max="5634" width="5.7109375" style="317" customWidth="1"/>
    <col min="5635" max="5635" width="8.42578125" style="317" customWidth="1"/>
    <col min="5636" max="5636" width="6.5703125" style="317" customWidth="1"/>
    <col min="5637" max="5637" width="47.42578125" style="317" customWidth="1"/>
    <col min="5638" max="5638" width="21.42578125" style="317" customWidth="1"/>
    <col min="5639" max="5639" width="9.140625" style="317"/>
    <col min="5640" max="5640" width="12.28515625" style="317" customWidth="1"/>
    <col min="5641" max="5888" width="9.140625" style="317"/>
    <col min="5889" max="5889" width="4.42578125" style="317" customWidth="1"/>
    <col min="5890" max="5890" width="5.7109375" style="317" customWidth="1"/>
    <col min="5891" max="5891" width="8.42578125" style="317" customWidth="1"/>
    <col min="5892" max="5892" width="6.5703125" style="317" customWidth="1"/>
    <col min="5893" max="5893" width="47.42578125" style="317" customWidth="1"/>
    <col min="5894" max="5894" width="21.42578125" style="317" customWidth="1"/>
    <col min="5895" max="5895" width="9.140625" style="317"/>
    <col min="5896" max="5896" width="12.28515625" style="317" customWidth="1"/>
    <col min="5897" max="6144" width="9.140625" style="317"/>
    <col min="6145" max="6145" width="4.42578125" style="317" customWidth="1"/>
    <col min="6146" max="6146" width="5.7109375" style="317" customWidth="1"/>
    <col min="6147" max="6147" width="8.42578125" style="317" customWidth="1"/>
    <col min="6148" max="6148" width="6.5703125" style="317" customWidth="1"/>
    <col min="6149" max="6149" width="47.42578125" style="317" customWidth="1"/>
    <col min="6150" max="6150" width="21.42578125" style="317" customWidth="1"/>
    <col min="6151" max="6151" width="9.140625" style="317"/>
    <col min="6152" max="6152" width="12.28515625" style="317" customWidth="1"/>
    <col min="6153" max="6400" width="9.140625" style="317"/>
    <col min="6401" max="6401" width="4.42578125" style="317" customWidth="1"/>
    <col min="6402" max="6402" width="5.7109375" style="317" customWidth="1"/>
    <col min="6403" max="6403" width="8.42578125" style="317" customWidth="1"/>
    <col min="6404" max="6404" width="6.5703125" style="317" customWidth="1"/>
    <col min="6405" max="6405" width="47.42578125" style="317" customWidth="1"/>
    <col min="6406" max="6406" width="21.42578125" style="317" customWidth="1"/>
    <col min="6407" max="6407" width="9.140625" style="317"/>
    <col min="6408" max="6408" width="12.28515625" style="317" customWidth="1"/>
    <col min="6409" max="6656" width="9.140625" style="317"/>
    <col min="6657" max="6657" width="4.42578125" style="317" customWidth="1"/>
    <col min="6658" max="6658" width="5.7109375" style="317" customWidth="1"/>
    <col min="6659" max="6659" width="8.42578125" style="317" customWidth="1"/>
    <col min="6660" max="6660" width="6.5703125" style="317" customWidth="1"/>
    <col min="6661" max="6661" width="47.42578125" style="317" customWidth="1"/>
    <col min="6662" max="6662" width="21.42578125" style="317" customWidth="1"/>
    <col min="6663" max="6663" width="9.140625" style="317"/>
    <col min="6664" max="6664" width="12.28515625" style="317" customWidth="1"/>
    <col min="6665" max="6912" width="9.140625" style="317"/>
    <col min="6913" max="6913" width="4.42578125" style="317" customWidth="1"/>
    <col min="6914" max="6914" width="5.7109375" style="317" customWidth="1"/>
    <col min="6915" max="6915" width="8.42578125" style="317" customWidth="1"/>
    <col min="6916" max="6916" width="6.5703125" style="317" customWidth="1"/>
    <col min="6917" max="6917" width="47.42578125" style="317" customWidth="1"/>
    <col min="6918" max="6918" width="21.42578125" style="317" customWidth="1"/>
    <col min="6919" max="6919" width="9.140625" style="317"/>
    <col min="6920" max="6920" width="12.28515625" style="317" customWidth="1"/>
    <col min="6921" max="7168" width="9.140625" style="317"/>
    <col min="7169" max="7169" width="4.42578125" style="317" customWidth="1"/>
    <col min="7170" max="7170" width="5.7109375" style="317" customWidth="1"/>
    <col min="7171" max="7171" width="8.42578125" style="317" customWidth="1"/>
    <col min="7172" max="7172" width="6.5703125" style="317" customWidth="1"/>
    <col min="7173" max="7173" width="47.42578125" style="317" customWidth="1"/>
    <col min="7174" max="7174" width="21.42578125" style="317" customWidth="1"/>
    <col min="7175" max="7175" width="9.140625" style="317"/>
    <col min="7176" max="7176" width="12.28515625" style="317" customWidth="1"/>
    <col min="7177" max="7424" width="9.140625" style="317"/>
    <col min="7425" max="7425" width="4.42578125" style="317" customWidth="1"/>
    <col min="7426" max="7426" width="5.7109375" style="317" customWidth="1"/>
    <col min="7427" max="7427" width="8.42578125" style="317" customWidth="1"/>
    <col min="7428" max="7428" width="6.5703125" style="317" customWidth="1"/>
    <col min="7429" max="7429" width="47.42578125" style="317" customWidth="1"/>
    <col min="7430" max="7430" width="21.42578125" style="317" customWidth="1"/>
    <col min="7431" max="7431" width="9.140625" style="317"/>
    <col min="7432" max="7432" width="12.28515625" style="317" customWidth="1"/>
    <col min="7433" max="7680" width="9.140625" style="317"/>
    <col min="7681" max="7681" width="4.42578125" style="317" customWidth="1"/>
    <col min="7682" max="7682" width="5.7109375" style="317" customWidth="1"/>
    <col min="7683" max="7683" width="8.42578125" style="317" customWidth="1"/>
    <col min="7684" max="7684" width="6.5703125" style="317" customWidth="1"/>
    <col min="7685" max="7685" width="47.42578125" style="317" customWidth="1"/>
    <col min="7686" max="7686" width="21.42578125" style="317" customWidth="1"/>
    <col min="7687" max="7687" width="9.140625" style="317"/>
    <col min="7688" max="7688" width="12.28515625" style="317" customWidth="1"/>
    <col min="7689" max="7936" width="9.140625" style="317"/>
    <col min="7937" max="7937" width="4.42578125" style="317" customWidth="1"/>
    <col min="7938" max="7938" width="5.7109375" style="317" customWidth="1"/>
    <col min="7939" max="7939" width="8.42578125" style="317" customWidth="1"/>
    <col min="7940" max="7940" width="6.5703125" style="317" customWidth="1"/>
    <col min="7941" max="7941" width="47.42578125" style="317" customWidth="1"/>
    <col min="7942" max="7942" width="21.42578125" style="317" customWidth="1"/>
    <col min="7943" max="7943" width="9.140625" style="317"/>
    <col min="7944" max="7944" width="12.28515625" style="317" customWidth="1"/>
    <col min="7945" max="8192" width="9.140625" style="317"/>
    <col min="8193" max="8193" width="4.42578125" style="317" customWidth="1"/>
    <col min="8194" max="8194" width="5.7109375" style="317" customWidth="1"/>
    <col min="8195" max="8195" width="8.42578125" style="317" customWidth="1"/>
    <col min="8196" max="8196" width="6.5703125" style="317" customWidth="1"/>
    <col min="8197" max="8197" width="47.42578125" style="317" customWidth="1"/>
    <col min="8198" max="8198" width="21.42578125" style="317" customWidth="1"/>
    <col min="8199" max="8199" width="9.140625" style="317"/>
    <col min="8200" max="8200" width="12.28515625" style="317" customWidth="1"/>
    <col min="8201" max="8448" width="9.140625" style="317"/>
    <col min="8449" max="8449" width="4.42578125" style="317" customWidth="1"/>
    <col min="8450" max="8450" width="5.7109375" style="317" customWidth="1"/>
    <col min="8451" max="8451" width="8.42578125" style="317" customWidth="1"/>
    <col min="8452" max="8452" width="6.5703125" style="317" customWidth="1"/>
    <col min="8453" max="8453" width="47.42578125" style="317" customWidth="1"/>
    <col min="8454" max="8454" width="21.42578125" style="317" customWidth="1"/>
    <col min="8455" max="8455" width="9.140625" style="317"/>
    <col min="8456" max="8456" width="12.28515625" style="317" customWidth="1"/>
    <col min="8457" max="8704" width="9.140625" style="317"/>
    <col min="8705" max="8705" width="4.42578125" style="317" customWidth="1"/>
    <col min="8706" max="8706" width="5.7109375" style="317" customWidth="1"/>
    <col min="8707" max="8707" width="8.42578125" style="317" customWidth="1"/>
    <col min="8708" max="8708" width="6.5703125" style="317" customWidth="1"/>
    <col min="8709" max="8709" width="47.42578125" style="317" customWidth="1"/>
    <col min="8710" max="8710" width="21.42578125" style="317" customWidth="1"/>
    <col min="8711" max="8711" width="9.140625" style="317"/>
    <col min="8712" max="8712" width="12.28515625" style="317" customWidth="1"/>
    <col min="8713" max="8960" width="9.140625" style="317"/>
    <col min="8961" max="8961" width="4.42578125" style="317" customWidth="1"/>
    <col min="8962" max="8962" width="5.7109375" style="317" customWidth="1"/>
    <col min="8963" max="8963" width="8.42578125" style="317" customWidth="1"/>
    <col min="8964" max="8964" width="6.5703125" style="317" customWidth="1"/>
    <col min="8965" max="8965" width="47.42578125" style="317" customWidth="1"/>
    <col min="8966" max="8966" width="21.42578125" style="317" customWidth="1"/>
    <col min="8967" max="8967" width="9.140625" style="317"/>
    <col min="8968" max="8968" width="12.28515625" style="317" customWidth="1"/>
    <col min="8969" max="9216" width="9.140625" style="317"/>
    <col min="9217" max="9217" width="4.42578125" style="317" customWidth="1"/>
    <col min="9218" max="9218" width="5.7109375" style="317" customWidth="1"/>
    <col min="9219" max="9219" width="8.42578125" style="317" customWidth="1"/>
    <col min="9220" max="9220" width="6.5703125" style="317" customWidth="1"/>
    <col min="9221" max="9221" width="47.42578125" style="317" customWidth="1"/>
    <col min="9222" max="9222" width="21.42578125" style="317" customWidth="1"/>
    <col min="9223" max="9223" width="9.140625" style="317"/>
    <col min="9224" max="9224" width="12.28515625" style="317" customWidth="1"/>
    <col min="9225" max="9472" width="9.140625" style="317"/>
    <col min="9473" max="9473" width="4.42578125" style="317" customWidth="1"/>
    <col min="9474" max="9474" width="5.7109375" style="317" customWidth="1"/>
    <col min="9475" max="9475" width="8.42578125" style="317" customWidth="1"/>
    <col min="9476" max="9476" width="6.5703125" style="317" customWidth="1"/>
    <col min="9477" max="9477" width="47.42578125" style="317" customWidth="1"/>
    <col min="9478" max="9478" width="21.42578125" style="317" customWidth="1"/>
    <col min="9479" max="9479" width="9.140625" style="317"/>
    <col min="9480" max="9480" width="12.28515625" style="317" customWidth="1"/>
    <col min="9481" max="9728" width="9.140625" style="317"/>
    <col min="9729" max="9729" width="4.42578125" style="317" customWidth="1"/>
    <col min="9730" max="9730" width="5.7109375" style="317" customWidth="1"/>
    <col min="9731" max="9731" width="8.42578125" style="317" customWidth="1"/>
    <col min="9732" max="9732" width="6.5703125" style="317" customWidth="1"/>
    <col min="9733" max="9733" width="47.42578125" style="317" customWidth="1"/>
    <col min="9734" max="9734" width="21.42578125" style="317" customWidth="1"/>
    <col min="9735" max="9735" width="9.140625" style="317"/>
    <col min="9736" max="9736" width="12.28515625" style="317" customWidth="1"/>
    <col min="9737" max="9984" width="9.140625" style="317"/>
    <col min="9985" max="9985" width="4.42578125" style="317" customWidth="1"/>
    <col min="9986" max="9986" width="5.7109375" style="317" customWidth="1"/>
    <col min="9987" max="9987" width="8.42578125" style="317" customWidth="1"/>
    <col min="9988" max="9988" width="6.5703125" style="317" customWidth="1"/>
    <col min="9989" max="9989" width="47.42578125" style="317" customWidth="1"/>
    <col min="9990" max="9990" width="21.42578125" style="317" customWidth="1"/>
    <col min="9991" max="9991" width="9.140625" style="317"/>
    <col min="9992" max="9992" width="12.28515625" style="317" customWidth="1"/>
    <col min="9993" max="10240" width="9.140625" style="317"/>
    <col min="10241" max="10241" width="4.42578125" style="317" customWidth="1"/>
    <col min="10242" max="10242" width="5.7109375" style="317" customWidth="1"/>
    <col min="10243" max="10243" width="8.42578125" style="317" customWidth="1"/>
    <col min="10244" max="10244" width="6.5703125" style="317" customWidth="1"/>
    <col min="10245" max="10245" width="47.42578125" style="317" customWidth="1"/>
    <col min="10246" max="10246" width="21.42578125" style="317" customWidth="1"/>
    <col min="10247" max="10247" width="9.140625" style="317"/>
    <col min="10248" max="10248" width="12.28515625" style="317" customWidth="1"/>
    <col min="10249" max="10496" width="9.140625" style="317"/>
    <col min="10497" max="10497" width="4.42578125" style="317" customWidth="1"/>
    <col min="10498" max="10498" width="5.7109375" style="317" customWidth="1"/>
    <col min="10499" max="10499" width="8.42578125" style="317" customWidth="1"/>
    <col min="10500" max="10500" width="6.5703125" style="317" customWidth="1"/>
    <col min="10501" max="10501" width="47.42578125" style="317" customWidth="1"/>
    <col min="10502" max="10502" width="21.42578125" style="317" customWidth="1"/>
    <col min="10503" max="10503" width="9.140625" style="317"/>
    <col min="10504" max="10504" width="12.28515625" style="317" customWidth="1"/>
    <col min="10505" max="10752" width="9.140625" style="317"/>
    <col min="10753" max="10753" width="4.42578125" style="317" customWidth="1"/>
    <col min="10754" max="10754" width="5.7109375" style="317" customWidth="1"/>
    <col min="10755" max="10755" width="8.42578125" style="317" customWidth="1"/>
    <col min="10756" max="10756" width="6.5703125" style="317" customWidth="1"/>
    <col min="10757" max="10757" width="47.42578125" style="317" customWidth="1"/>
    <col min="10758" max="10758" width="21.42578125" style="317" customWidth="1"/>
    <col min="10759" max="10759" width="9.140625" style="317"/>
    <col min="10760" max="10760" width="12.28515625" style="317" customWidth="1"/>
    <col min="10761" max="11008" width="9.140625" style="317"/>
    <col min="11009" max="11009" width="4.42578125" style="317" customWidth="1"/>
    <col min="11010" max="11010" width="5.7109375" style="317" customWidth="1"/>
    <col min="11011" max="11011" width="8.42578125" style="317" customWidth="1"/>
    <col min="11012" max="11012" width="6.5703125" style="317" customWidth="1"/>
    <col min="11013" max="11013" width="47.42578125" style="317" customWidth="1"/>
    <col min="11014" max="11014" width="21.42578125" style="317" customWidth="1"/>
    <col min="11015" max="11015" width="9.140625" style="317"/>
    <col min="11016" max="11016" width="12.28515625" style="317" customWidth="1"/>
    <col min="11017" max="11264" width="9.140625" style="317"/>
    <col min="11265" max="11265" width="4.42578125" style="317" customWidth="1"/>
    <col min="11266" max="11266" width="5.7109375" style="317" customWidth="1"/>
    <col min="11267" max="11267" width="8.42578125" style="317" customWidth="1"/>
    <col min="11268" max="11268" width="6.5703125" style="317" customWidth="1"/>
    <col min="11269" max="11269" width="47.42578125" style="317" customWidth="1"/>
    <col min="11270" max="11270" width="21.42578125" style="317" customWidth="1"/>
    <col min="11271" max="11271" width="9.140625" style="317"/>
    <col min="11272" max="11272" width="12.28515625" style="317" customWidth="1"/>
    <col min="11273" max="11520" width="9.140625" style="317"/>
    <col min="11521" max="11521" width="4.42578125" style="317" customWidth="1"/>
    <col min="11522" max="11522" width="5.7109375" style="317" customWidth="1"/>
    <col min="11523" max="11523" width="8.42578125" style="317" customWidth="1"/>
    <col min="11524" max="11524" width="6.5703125" style="317" customWidth="1"/>
    <col min="11525" max="11525" width="47.42578125" style="317" customWidth="1"/>
    <col min="11526" max="11526" width="21.42578125" style="317" customWidth="1"/>
    <col min="11527" max="11527" width="9.140625" style="317"/>
    <col min="11528" max="11528" width="12.28515625" style="317" customWidth="1"/>
    <col min="11529" max="11776" width="9.140625" style="317"/>
    <col min="11777" max="11777" width="4.42578125" style="317" customWidth="1"/>
    <col min="11778" max="11778" width="5.7109375" style="317" customWidth="1"/>
    <col min="11779" max="11779" width="8.42578125" style="317" customWidth="1"/>
    <col min="11780" max="11780" width="6.5703125" style="317" customWidth="1"/>
    <col min="11781" max="11781" width="47.42578125" style="317" customWidth="1"/>
    <col min="11782" max="11782" width="21.42578125" style="317" customWidth="1"/>
    <col min="11783" max="11783" width="9.140625" style="317"/>
    <col min="11784" max="11784" width="12.28515625" style="317" customWidth="1"/>
    <col min="11785" max="12032" width="9.140625" style="317"/>
    <col min="12033" max="12033" width="4.42578125" style="317" customWidth="1"/>
    <col min="12034" max="12034" width="5.7109375" style="317" customWidth="1"/>
    <col min="12035" max="12035" width="8.42578125" style="317" customWidth="1"/>
    <col min="12036" max="12036" width="6.5703125" style="317" customWidth="1"/>
    <col min="12037" max="12037" width="47.42578125" style="317" customWidth="1"/>
    <col min="12038" max="12038" width="21.42578125" style="317" customWidth="1"/>
    <col min="12039" max="12039" width="9.140625" style="317"/>
    <col min="12040" max="12040" width="12.28515625" style="317" customWidth="1"/>
    <col min="12041" max="12288" width="9.140625" style="317"/>
    <col min="12289" max="12289" width="4.42578125" style="317" customWidth="1"/>
    <col min="12290" max="12290" width="5.7109375" style="317" customWidth="1"/>
    <col min="12291" max="12291" width="8.42578125" style="317" customWidth="1"/>
    <col min="12292" max="12292" width="6.5703125" style="317" customWidth="1"/>
    <col min="12293" max="12293" width="47.42578125" style="317" customWidth="1"/>
    <col min="12294" max="12294" width="21.42578125" style="317" customWidth="1"/>
    <col min="12295" max="12295" width="9.140625" style="317"/>
    <col min="12296" max="12296" width="12.28515625" style="317" customWidth="1"/>
    <col min="12297" max="12544" width="9.140625" style="317"/>
    <col min="12545" max="12545" width="4.42578125" style="317" customWidth="1"/>
    <col min="12546" max="12546" width="5.7109375" style="317" customWidth="1"/>
    <col min="12547" max="12547" width="8.42578125" style="317" customWidth="1"/>
    <col min="12548" max="12548" width="6.5703125" style="317" customWidth="1"/>
    <col min="12549" max="12549" width="47.42578125" style="317" customWidth="1"/>
    <col min="12550" max="12550" width="21.42578125" style="317" customWidth="1"/>
    <col min="12551" max="12551" width="9.140625" style="317"/>
    <col min="12552" max="12552" width="12.28515625" style="317" customWidth="1"/>
    <col min="12553" max="12800" width="9.140625" style="317"/>
    <col min="12801" max="12801" width="4.42578125" style="317" customWidth="1"/>
    <col min="12802" max="12802" width="5.7109375" style="317" customWidth="1"/>
    <col min="12803" max="12803" width="8.42578125" style="317" customWidth="1"/>
    <col min="12804" max="12804" width="6.5703125" style="317" customWidth="1"/>
    <col min="12805" max="12805" width="47.42578125" style="317" customWidth="1"/>
    <col min="12806" max="12806" width="21.42578125" style="317" customWidth="1"/>
    <col min="12807" max="12807" width="9.140625" style="317"/>
    <col min="12808" max="12808" width="12.28515625" style="317" customWidth="1"/>
    <col min="12809" max="13056" width="9.140625" style="317"/>
    <col min="13057" max="13057" width="4.42578125" style="317" customWidth="1"/>
    <col min="13058" max="13058" width="5.7109375" style="317" customWidth="1"/>
    <col min="13059" max="13059" width="8.42578125" style="317" customWidth="1"/>
    <col min="13060" max="13060" width="6.5703125" style="317" customWidth="1"/>
    <col min="13061" max="13061" width="47.42578125" style="317" customWidth="1"/>
    <col min="13062" max="13062" width="21.42578125" style="317" customWidth="1"/>
    <col min="13063" max="13063" width="9.140625" style="317"/>
    <col min="13064" max="13064" width="12.28515625" style="317" customWidth="1"/>
    <col min="13065" max="13312" width="9.140625" style="317"/>
    <col min="13313" max="13313" width="4.42578125" style="317" customWidth="1"/>
    <col min="13314" max="13314" width="5.7109375" style="317" customWidth="1"/>
    <col min="13315" max="13315" width="8.42578125" style="317" customWidth="1"/>
    <col min="13316" max="13316" width="6.5703125" style="317" customWidth="1"/>
    <col min="13317" max="13317" width="47.42578125" style="317" customWidth="1"/>
    <col min="13318" max="13318" width="21.42578125" style="317" customWidth="1"/>
    <col min="13319" max="13319" width="9.140625" style="317"/>
    <col min="13320" max="13320" width="12.28515625" style="317" customWidth="1"/>
    <col min="13321" max="13568" width="9.140625" style="317"/>
    <col min="13569" max="13569" width="4.42578125" style="317" customWidth="1"/>
    <col min="13570" max="13570" width="5.7109375" style="317" customWidth="1"/>
    <col min="13571" max="13571" width="8.42578125" style="317" customWidth="1"/>
    <col min="13572" max="13572" width="6.5703125" style="317" customWidth="1"/>
    <col min="13573" max="13573" width="47.42578125" style="317" customWidth="1"/>
    <col min="13574" max="13574" width="21.42578125" style="317" customWidth="1"/>
    <col min="13575" max="13575" width="9.140625" style="317"/>
    <col min="13576" max="13576" width="12.28515625" style="317" customWidth="1"/>
    <col min="13577" max="13824" width="9.140625" style="317"/>
    <col min="13825" max="13825" width="4.42578125" style="317" customWidth="1"/>
    <col min="13826" max="13826" width="5.7109375" style="317" customWidth="1"/>
    <col min="13827" max="13827" width="8.42578125" style="317" customWidth="1"/>
    <col min="13828" max="13828" width="6.5703125" style="317" customWidth="1"/>
    <col min="13829" max="13829" width="47.42578125" style="317" customWidth="1"/>
    <col min="13830" max="13830" width="21.42578125" style="317" customWidth="1"/>
    <col min="13831" max="13831" width="9.140625" style="317"/>
    <col min="13832" max="13832" width="12.28515625" style="317" customWidth="1"/>
    <col min="13833" max="14080" width="9.140625" style="317"/>
    <col min="14081" max="14081" width="4.42578125" style="317" customWidth="1"/>
    <col min="14082" max="14082" width="5.7109375" style="317" customWidth="1"/>
    <col min="14083" max="14083" width="8.42578125" style="317" customWidth="1"/>
    <col min="14084" max="14084" width="6.5703125" style="317" customWidth="1"/>
    <col min="14085" max="14085" width="47.42578125" style="317" customWidth="1"/>
    <col min="14086" max="14086" width="21.42578125" style="317" customWidth="1"/>
    <col min="14087" max="14087" width="9.140625" style="317"/>
    <col min="14088" max="14088" width="12.28515625" style="317" customWidth="1"/>
    <col min="14089" max="14336" width="9.140625" style="317"/>
    <col min="14337" max="14337" width="4.42578125" style="317" customWidth="1"/>
    <col min="14338" max="14338" width="5.7109375" style="317" customWidth="1"/>
    <col min="14339" max="14339" width="8.42578125" style="317" customWidth="1"/>
    <col min="14340" max="14340" width="6.5703125" style="317" customWidth="1"/>
    <col min="14341" max="14341" width="47.42578125" style="317" customWidth="1"/>
    <col min="14342" max="14342" width="21.42578125" style="317" customWidth="1"/>
    <col min="14343" max="14343" width="9.140625" style="317"/>
    <col min="14344" max="14344" width="12.28515625" style="317" customWidth="1"/>
    <col min="14345" max="14592" width="9.140625" style="317"/>
    <col min="14593" max="14593" width="4.42578125" style="317" customWidth="1"/>
    <col min="14594" max="14594" width="5.7109375" style="317" customWidth="1"/>
    <col min="14595" max="14595" width="8.42578125" style="317" customWidth="1"/>
    <col min="14596" max="14596" width="6.5703125" style="317" customWidth="1"/>
    <col min="14597" max="14597" width="47.42578125" style="317" customWidth="1"/>
    <col min="14598" max="14598" width="21.42578125" style="317" customWidth="1"/>
    <col min="14599" max="14599" width="9.140625" style="317"/>
    <col min="14600" max="14600" width="12.28515625" style="317" customWidth="1"/>
    <col min="14601" max="14848" width="9.140625" style="317"/>
    <col min="14849" max="14849" width="4.42578125" style="317" customWidth="1"/>
    <col min="14850" max="14850" width="5.7109375" style="317" customWidth="1"/>
    <col min="14851" max="14851" width="8.42578125" style="317" customWidth="1"/>
    <col min="14852" max="14852" width="6.5703125" style="317" customWidth="1"/>
    <col min="14853" max="14853" width="47.42578125" style="317" customWidth="1"/>
    <col min="14854" max="14854" width="21.42578125" style="317" customWidth="1"/>
    <col min="14855" max="14855" width="9.140625" style="317"/>
    <col min="14856" max="14856" width="12.28515625" style="317" customWidth="1"/>
    <col min="14857" max="15104" width="9.140625" style="317"/>
    <col min="15105" max="15105" width="4.42578125" style="317" customWidth="1"/>
    <col min="15106" max="15106" width="5.7109375" style="317" customWidth="1"/>
    <col min="15107" max="15107" width="8.42578125" style="317" customWidth="1"/>
    <col min="15108" max="15108" width="6.5703125" style="317" customWidth="1"/>
    <col min="15109" max="15109" width="47.42578125" style="317" customWidth="1"/>
    <col min="15110" max="15110" width="21.42578125" style="317" customWidth="1"/>
    <col min="15111" max="15111" width="9.140625" style="317"/>
    <col min="15112" max="15112" width="12.28515625" style="317" customWidth="1"/>
    <col min="15113" max="15360" width="9.140625" style="317"/>
    <col min="15361" max="15361" width="4.42578125" style="317" customWidth="1"/>
    <col min="15362" max="15362" width="5.7109375" style="317" customWidth="1"/>
    <col min="15363" max="15363" width="8.42578125" style="317" customWidth="1"/>
    <col min="15364" max="15364" width="6.5703125" style="317" customWidth="1"/>
    <col min="15365" max="15365" width="47.42578125" style="317" customWidth="1"/>
    <col min="15366" max="15366" width="21.42578125" style="317" customWidth="1"/>
    <col min="15367" max="15367" width="9.140625" style="317"/>
    <col min="15368" max="15368" width="12.28515625" style="317" customWidth="1"/>
    <col min="15369" max="15616" width="9.140625" style="317"/>
    <col min="15617" max="15617" width="4.42578125" style="317" customWidth="1"/>
    <col min="15618" max="15618" width="5.7109375" style="317" customWidth="1"/>
    <col min="15619" max="15619" width="8.42578125" style="317" customWidth="1"/>
    <col min="15620" max="15620" width="6.5703125" style="317" customWidth="1"/>
    <col min="15621" max="15621" width="47.42578125" style="317" customWidth="1"/>
    <col min="15622" max="15622" width="21.42578125" style="317" customWidth="1"/>
    <col min="15623" max="15623" width="9.140625" style="317"/>
    <col min="15624" max="15624" width="12.28515625" style="317" customWidth="1"/>
    <col min="15625" max="15872" width="9.140625" style="317"/>
    <col min="15873" max="15873" width="4.42578125" style="317" customWidth="1"/>
    <col min="15874" max="15874" width="5.7109375" style="317" customWidth="1"/>
    <col min="15875" max="15875" width="8.42578125" style="317" customWidth="1"/>
    <col min="15876" max="15876" width="6.5703125" style="317" customWidth="1"/>
    <col min="15877" max="15877" width="47.42578125" style="317" customWidth="1"/>
    <col min="15878" max="15878" width="21.42578125" style="317" customWidth="1"/>
    <col min="15879" max="15879" width="9.140625" style="317"/>
    <col min="15880" max="15880" width="12.28515625" style="317" customWidth="1"/>
    <col min="15881" max="16128" width="9.140625" style="317"/>
    <col min="16129" max="16129" width="4.42578125" style="317" customWidth="1"/>
    <col min="16130" max="16130" width="5.7109375" style="317" customWidth="1"/>
    <col min="16131" max="16131" width="8.42578125" style="317" customWidth="1"/>
    <col min="16132" max="16132" width="6.5703125" style="317" customWidth="1"/>
    <col min="16133" max="16133" width="47.42578125" style="317" customWidth="1"/>
    <col min="16134" max="16134" width="21.42578125" style="317" customWidth="1"/>
    <col min="16135" max="16135" width="9.140625" style="317"/>
    <col min="16136" max="16136" width="12.28515625" style="317" customWidth="1"/>
    <col min="16137" max="16384" width="9.140625" style="317"/>
  </cols>
  <sheetData>
    <row r="1" spans="1:8" ht="13.5" customHeight="1" x14ac:dyDescent="0.2">
      <c r="E1" s="319"/>
      <c r="F1" s="320" t="s">
        <v>343</v>
      </c>
    </row>
    <row r="2" spans="1:8" x14ac:dyDescent="0.2">
      <c r="E2" s="319"/>
      <c r="F2" s="3" t="s">
        <v>286</v>
      </c>
    </row>
    <row r="3" spans="1:8" x14ac:dyDescent="0.2">
      <c r="E3" s="319"/>
      <c r="F3" s="3" t="s">
        <v>0</v>
      </c>
    </row>
    <row r="4" spans="1:8" x14ac:dyDescent="0.2">
      <c r="E4" s="319"/>
      <c r="F4" s="3" t="s">
        <v>287</v>
      </c>
    </row>
    <row r="5" spans="1:8" ht="18.75" customHeight="1" x14ac:dyDescent="0.2">
      <c r="E5" s="321"/>
    </row>
    <row r="6" spans="1:8" ht="13.5" customHeight="1" x14ac:dyDescent="0.2">
      <c r="A6" s="322" t="s">
        <v>344</v>
      </c>
      <c r="B6" s="322"/>
      <c r="C6" s="322"/>
      <c r="D6" s="323"/>
      <c r="E6" s="322"/>
      <c r="F6" s="322"/>
    </row>
    <row r="7" spans="1:8" ht="14.25" customHeight="1" x14ac:dyDescent="0.2">
      <c r="A7" s="322" t="s">
        <v>345</v>
      </c>
      <c r="B7" s="322"/>
      <c r="C7" s="322"/>
      <c r="D7" s="323"/>
      <c r="E7" s="322"/>
      <c r="F7" s="322"/>
    </row>
    <row r="8" spans="1:8" ht="17.25" customHeight="1" x14ac:dyDescent="0.2">
      <c r="A8" s="324"/>
      <c r="B8" s="324"/>
      <c r="C8" s="324"/>
      <c r="D8" s="325"/>
      <c r="E8" s="324"/>
      <c r="F8" s="326" t="s">
        <v>2</v>
      </c>
    </row>
    <row r="9" spans="1:8" ht="20.25" customHeight="1" x14ac:dyDescent="0.2">
      <c r="A9" s="327" t="s">
        <v>60</v>
      </c>
      <c r="B9" s="327" t="s">
        <v>297</v>
      </c>
      <c r="C9" s="327" t="s">
        <v>334</v>
      </c>
      <c r="D9" s="328" t="s">
        <v>346</v>
      </c>
      <c r="E9" s="329" t="s">
        <v>347</v>
      </c>
      <c r="F9" s="327" t="s">
        <v>348</v>
      </c>
    </row>
    <row r="10" spans="1:8" s="333" customFormat="1" ht="9.75" customHeight="1" x14ac:dyDescent="0.2">
      <c r="A10" s="330">
        <v>1</v>
      </c>
      <c r="B10" s="330">
        <v>2</v>
      </c>
      <c r="C10" s="330">
        <v>3</v>
      </c>
      <c r="D10" s="331">
        <v>4</v>
      </c>
      <c r="E10" s="332">
        <v>5</v>
      </c>
      <c r="F10" s="330">
        <v>6</v>
      </c>
    </row>
    <row r="11" spans="1:8" ht="17.25" customHeight="1" x14ac:dyDescent="0.2">
      <c r="A11" s="598" t="s">
        <v>349</v>
      </c>
      <c r="B11" s="599"/>
      <c r="C11" s="599"/>
      <c r="D11" s="334"/>
      <c r="E11" s="599"/>
      <c r="F11" s="600"/>
    </row>
    <row r="12" spans="1:8" ht="24" customHeight="1" x14ac:dyDescent="0.2">
      <c r="A12" s="335">
        <v>1</v>
      </c>
      <c r="B12" s="335">
        <v>600</v>
      </c>
      <c r="C12" s="335">
        <v>60095</v>
      </c>
      <c r="D12" s="336">
        <v>6230</v>
      </c>
      <c r="E12" s="337" t="s">
        <v>350</v>
      </c>
      <c r="F12" s="338">
        <v>200000</v>
      </c>
    </row>
    <row r="13" spans="1:8" ht="17.25" customHeight="1" x14ac:dyDescent="0.2">
      <c r="A13" s="335">
        <v>2</v>
      </c>
      <c r="B13" s="335">
        <v>700</v>
      </c>
      <c r="C13" s="335">
        <v>70095</v>
      </c>
      <c r="D13" s="339">
        <v>6230</v>
      </c>
      <c r="E13" s="340" t="s">
        <v>351</v>
      </c>
      <c r="F13" s="341">
        <v>1500000</v>
      </c>
      <c r="G13" s="342"/>
    </row>
    <row r="14" spans="1:8" ht="26.25" customHeight="1" x14ac:dyDescent="0.2">
      <c r="A14" s="343">
        <v>3</v>
      </c>
      <c r="B14" s="343">
        <v>750</v>
      </c>
      <c r="C14" s="343">
        <v>75095</v>
      </c>
      <c r="D14" s="344">
        <v>2820</v>
      </c>
      <c r="E14" s="345" t="s">
        <v>352</v>
      </c>
      <c r="F14" s="346">
        <v>90000</v>
      </c>
      <c r="H14" s="347"/>
    </row>
    <row r="15" spans="1:8" ht="26.25" customHeight="1" x14ac:dyDescent="0.2">
      <c r="A15" s="343">
        <v>4</v>
      </c>
      <c r="B15" s="343">
        <v>750</v>
      </c>
      <c r="C15" s="343">
        <v>75095</v>
      </c>
      <c r="D15" s="348" t="s">
        <v>353</v>
      </c>
      <c r="E15" s="349" t="s">
        <v>354</v>
      </c>
      <c r="F15" s="346">
        <f>20033.52+113523.25</f>
        <v>133556.76999999999</v>
      </c>
      <c r="H15" s="347"/>
    </row>
    <row r="16" spans="1:8" ht="15.75" customHeight="1" x14ac:dyDescent="0.2">
      <c r="A16" s="343">
        <v>5</v>
      </c>
      <c r="B16" s="343">
        <v>755</v>
      </c>
      <c r="C16" s="343">
        <v>75515</v>
      </c>
      <c r="D16" s="344">
        <v>2820</v>
      </c>
      <c r="E16" s="345" t="s">
        <v>355</v>
      </c>
      <c r="F16" s="341">
        <v>128040</v>
      </c>
      <c r="H16" s="347"/>
    </row>
    <row r="17" spans="1:8" ht="35.25" customHeight="1" x14ac:dyDescent="0.2">
      <c r="A17" s="350">
        <v>6</v>
      </c>
      <c r="B17" s="350">
        <v>801</v>
      </c>
      <c r="C17" s="351">
        <v>80101</v>
      </c>
      <c r="D17" s="352" t="s">
        <v>356</v>
      </c>
      <c r="E17" s="353" t="s">
        <v>18</v>
      </c>
      <c r="F17" s="354">
        <f>1182.91+1343.84+1213.79+1344+1300+1344+1300+1344+114750+1343</f>
        <v>126465.54000000001</v>
      </c>
      <c r="H17" s="347"/>
    </row>
    <row r="18" spans="1:8" ht="22.5" customHeight="1" x14ac:dyDescent="0.2">
      <c r="A18" s="355"/>
      <c r="B18" s="356"/>
      <c r="C18" s="357"/>
      <c r="D18" s="358"/>
      <c r="E18" s="359" t="s">
        <v>357</v>
      </c>
      <c r="F18" s="360"/>
      <c r="H18" s="347"/>
    </row>
    <row r="19" spans="1:8" ht="23.25" customHeight="1" x14ac:dyDescent="0.2">
      <c r="A19" s="361"/>
      <c r="B19" s="362"/>
      <c r="C19" s="363"/>
      <c r="D19" s="364"/>
      <c r="E19" s="365" t="s">
        <v>358</v>
      </c>
      <c r="F19" s="366"/>
      <c r="H19" s="347"/>
    </row>
    <row r="20" spans="1:8" ht="23.25" customHeight="1" x14ac:dyDescent="0.2">
      <c r="A20" s="361"/>
      <c r="B20" s="362"/>
      <c r="C20" s="363"/>
      <c r="D20" s="364"/>
      <c r="E20" s="367" t="s">
        <v>359</v>
      </c>
      <c r="F20" s="366"/>
      <c r="H20" s="347"/>
    </row>
    <row r="21" spans="1:8" ht="17.25" customHeight="1" x14ac:dyDescent="0.2">
      <c r="A21" s="361"/>
      <c r="B21" s="362"/>
      <c r="C21" s="363"/>
      <c r="D21" s="364"/>
      <c r="E21" s="365" t="s">
        <v>360</v>
      </c>
      <c r="F21" s="366"/>
      <c r="H21" s="347"/>
    </row>
    <row r="22" spans="1:8" ht="16.5" customHeight="1" x14ac:dyDescent="0.2">
      <c r="A22" s="361"/>
      <c r="B22" s="362"/>
      <c r="C22" s="363"/>
      <c r="D22" s="364"/>
      <c r="E22" s="365" t="s">
        <v>361</v>
      </c>
      <c r="F22" s="366"/>
      <c r="H22" s="347"/>
    </row>
    <row r="23" spans="1:8" ht="18.75" customHeight="1" x14ac:dyDescent="0.2">
      <c r="A23" s="361"/>
      <c r="B23" s="362"/>
      <c r="C23" s="368"/>
      <c r="D23" s="369"/>
      <c r="E23" s="367" t="s">
        <v>362</v>
      </c>
      <c r="F23" s="370"/>
      <c r="H23" s="347"/>
    </row>
    <row r="24" spans="1:8" ht="34.5" customHeight="1" x14ac:dyDescent="0.2">
      <c r="A24" s="350">
        <v>7</v>
      </c>
      <c r="B24" s="350">
        <v>801</v>
      </c>
      <c r="C24" s="353">
        <v>80104</v>
      </c>
      <c r="D24" s="371" t="s">
        <v>363</v>
      </c>
      <c r="E24" s="353" t="s">
        <v>46</v>
      </c>
      <c r="F24" s="354">
        <f>10372.44+5081.41+5625+5444+5625+5991+5598+112500+6138</f>
        <v>162374.85</v>
      </c>
      <c r="H24" s="347"/>
    </row>
    <row r="25" spans="1:8" ht="15.75" customHeight="1" x14ac:dyDescent="0.2">
      <c r="A25" s="355"/>
      <c r="B25" s="356"/>
      <c r="C25" s="356"/>
      <c r="D25" s="372"/>
      <c r="E25" s="373" t="s">
        <v>364</v>
      </c>
      <c r="F25" s="360"/>
      <c r="H25" s="347"/>
    </row>
    <row r="26" spans="1:8" ht="15.75" customHeight="1" x14ac:dyDescent="0.2">
      <c r="A26" s="361"/>
      <c r="B26" s="362"/>
      <c r="C26" s="362"/>
      <c r="D26" s="374"/>
      <c r="E26" s="375" t="s">
        <v>365</v>
      </c>
      <c r="F26" s="366"/>
      <c r="H26" s="347"/>
    </row>
    <row r="27" spans="1:8" ht="15.75" customHeight="1" x14ac:dyDescent="0.2">
      <c r="A27" s="361"/>
      <c r="B27" s="362"/>
      <c r="C27" s="362"/>
      <c r="D27" s="374"/>
      <c r="E27" s="376" t="s">
        <v>366</v>
      </c>
      <c r="F27" s="366"/>
      <c r="H27" s="347"/>
    </row>
    <row r="28" spans="1:8" ht="15.75" customHeight="1" x14ac:dyDescent="0.2">
      <c r="A28" s="361"/>
      <c r="B28" s="362"/>
      <c r="C28" s="362"/>
      <c r="D28" s="374"/>
      <c r="E28" s="377" t="s">
        <v>367</v>
      </c>
      <c r="F28" s="366"/>
      <c r="H28" s="347"/>
    </row>
    <row r="29" spans="1:8" ht="15.75" customHeight="1" x14ac:dyDescent="0.2">
      <c r="A29" s="361"/>
      <c r="B29" s="362"/>
      <c r="C29" s="362"/>
      <c r="D29" s="374"/>
      <c r="E29" s="378" t="s">
        <v>368</v>
      </c>
      <c r="F29" s="366"/>
      <c r="H29" s="347"/>
    </row>
    <row r="30" spans="1:8" ht="15.75" customHeight="1" x14ac:dyDescent="0.2">
      <c r="A30" s="361"/>
      <c r="B30" s="362"/>
      <c r="C30" s="362"/>
      <c r="D30" s="374"/>
      <c r="E30" s="379" t="s">
        <v>369</v>
      </c>
      <c r="F30" s="366"/>
      <c r="H30" s="347"/>
    </row>
    <row r="31" spans="1:8" ht="15.75" customHeight="1" x14ac:dyDescent="0.2">
      <c r="A31" s="361"/>
      <c r="B31" s="362"/>
      <c r="C31" s="362"/>
      <c r="D31" s="374"/>
      <c r="E31" s="380" t="s">
        <v>370</v>
      </c>
      <c r="F31" s="366"/>
      <c r="H31" s="347"/>
    </row>
    <row r="32" spans="1:8" ht="15.75" customHeight="1" x14ac:dyDescent="0.2">
      <c r="A32" s="361"/>
      <c r="B32" s="362"/>
      <c r="C32" s="362"/>
      <c r="D32" s="374"/>
      <c r="E32" s="380" t="s">
        <v>371</v>
      </c>
      <c r="F32" s="366"/>
      <c r="H32" s="347"/>
    </row>
    <row r="33" spans="1:8" ht="15.75" customHeight="1" x14ac:dyDescent="0.2">
      <c r="A33" s="361"/>
      <c r="B33" s="362"/>
      <c r="C33" s="362"/>
      <c r="D33" s="374"/>
      <c r="E33" s="380" t="s">
        <v>372</v>
      </c>
      <c r="F33" s="366"/>
      <c r="H33" s="347"/>
    </row>
    <row r="34" spans="1:8" ht="15.75" customHeight="1" x14ac:dyDescent="0.2">
      <c r="A34" s="361"/>
      <c r="B34" s="362"/>
      <c r="C34" s="362"/>
      <c r="D34" s="374"/>
      <c r="E34" s="380" t="s">
        <v>373</v>
      </c>
      <c r="F34" s="366"/>
      <c r="H34" s="347"/>
    </row>
    <row r="35" spans="1:8" ht="15.75" customHeight="1" x14ac:dyDescent="0.2">
      <c r="A35" s="361"/>
      <c r="B35" s="362"/>
      <c r="C35" s="362"/>
      <c r="D35" s="374"/>
      <c r="E35" s="380" t="s">
        <v>374</v>
      </c>
      <c r="F35" s="366"/>
      <c r="H35" s="347"/>
    </row>
    <row r="36" spans="1:8" ht="15.75" customHeight="1" x14ac:dyDescent="0.2">
      <c r="A36" s="361"/>
      <c r="B36" s="362"/>
      <c r="C36" s="362"/>
      <c r="D36" s="374"/>
      <c r="E36" s="380" t="s">
        <v>375</v>
      </c>
      <c r="F36" s="366"/>
      <c r="H36" s="347"/>
    </row>
    <row r="37" spans="1:8" ht="15.75" customHeight="1" x14ac:dyDescent="0.2">
      <c r="A37" s="361"/>
      <c r="B37" s="362"/>
      <c r="C37" s="362"/>
      <c r="D37" s="374"/>
      <c r="E37" s="380" t="s">
        <v>376</v>
      </c>
      <c r="F37" s="366"/>
      <c r="H37" s="347"/>
    </row>
    <row r="38" spans="1:8" ht="15.75" customHeight="1" x14ac:dyDescent="0.2">
      <c r="A38" s="381"/>
      <c r="B38" s="368"/>
      <c r="C38" s="368"/>
      <c r="D38" s="369"/>
      <c r="E38" s="361" t="s">
        <v>377</v>
      </c>
      <c r="F38" s="382"/>
      <c r="H38" s="347"/>
    </row>
    <row r="39" spans="1:8" ht="15.75" customHeight="1" x14ac:dyDescent="0.2">
      <c r="A39" s="350">
        <v>8</v>
      </c>
      <c r="B39" s="350">
        <v>801</v>
      </c>
      <c r="C39" s="353">
        <v>80106</v>
      </c>
      <c r="D39" s="383">
        <v>2830</v>
      </c>
      <c r="E39" s="353" t="s">
        <v>196</v>
      </c>
      <c r="F39" s="354">
        <f>2250</f>
        <v>2250</v>
      </c>
      <c r="H39" s="347"/>
    </row>
    <row r="40" spans="1:8" ht="15.75" customHeight="1" x14ac:dyDescent="0.2">
      <c r="A40" s="384"/>
      <c r="B40" s="385"/>
      <c r="C40" s="386"/>
      <c r="D40" s="339"/>
      <c r="E40" s="353" t="s">
        <v>378</v>
      </c>
      <c r="F40" s="354"/>
      <c r="H40" s="347"/>
    </row>
    <row r="41" spans="1:8" ht="15.75" customHeight="1" x14ac:dyDescent="0.2">
      <c r="A41" s="350">
        <v>9</v>
      </c>
      <c r="B41" s="350">
        <v>801</v>
      </c>
      <c r="C41" s="353">
        <v>80115</v>
      </c>
      <c r="D41" s="383">
        <v>2830</v>
      </c>
      <c r="E41" s="353" t="s">
        <v>72</v>
      </c>
      <c r="F41" s="354">
        <f>41625</f>
        <v>41625</v>
      </c>
      <c r="H41" s="347"/>
    </row>
    <row r="42" spans="1:8" ht="22.5" customHeight="1" x14ac:dyDescent="0.2">
      <c r="A42" s="384"/>
      <c r="B42" s="385"/>
      <c r="C42" s="386"/>
      <c r="D42" s="339"/>
      <c r="E42" s="387" t="s">
        <v>379</v>
      </c>
      <c r="F42" s="354"/>
      <c r="H42" s="347"/>
    </row>
    <row r="43" spans="1:8" ht="22.5" customHeight="1" x14ac:dyDescent="0.2">
      <c r="A43" s="350">
        <v>10</v>
      </c>
      <c r="B43" s="350">
        <v>801</v>
      </c>
      <c r="C43" s="353">
        <v>80116</v>
      </c>
      <c r="D43" s="371" t="s">
        <v>380</v>
      </c>
      <c r="E43" s="353" t="s">
        <v>381</v>
      </c>
      <c r="F43" s="354">
        <f>91125</f>
        <v>91125</v>
      </c>
      <c r="H43" s="347"/>
    </row>
    <row r="44" spans="1:8" ht="17.25" customHeight="1" x14ac:dyDescent="0.2">
      <c r="A44" s="355"/>
      <c r="B44" s="356"/>
      <c r="C44" s="357"/>
      <c r="D44" s="388"/>
      <c r="E44" s="389" t="s">
        <v>382</v>
      </c>
      <c r="F44" s="360"/>
      <c r="H44" s="347"/>
    </row>
    <row r="45" spans="1:8" ht="24" customHeight="1" x14ac:dyDescent="0.2">
      <c r="A45" s="361"/>
      <c r="B45" s="362"/>
      <c r="C45" s="363"/>
      <c r="D45" s="390"/>
      <c r="E45" s="365" t="s">
        <v>383</v>
      </c>
      <c r="F45" s="366"/>
      <c r="H45" s="347"/>
    </row>
    <row r="46" spans="1:8" ht="15.75" customHeight="1" x14ac:dyDescent="0.2">
      <c r="A46" s="361"/>
      <c r="B46" s="362"/>
      <c r="C46" s="363"/>
      <c r="D46" s="390"/>
      <c r="E46" s="391" t="s">
        <v>384</v>
      </c>
      <c r="F46" s="366"/>
      <c r="H46" s="347"/>
    </row>
    <row r="47" spans="1:8" ht="18" customHeight="1" x14ac:dyDescent="0.2">
      <c r="A47" s="361"/>
      <c r="B47" s="362"/>
      <c r="C47" s="363"/>
      <c r="D47" s="390"/>
      <c r="E47" s="391" t="s">
        <v>385</v>
      </c>
      <c r="F47" s="366"/>
      <c r="H47" s="347"/>
    </row>
    <row r="48" spans="1:8" ht="17.25" customHeight="1" x14ac:dyDescent="0.2">
      <c r="A48" s="361"/>
      <c r="B48" s="362"/>
      <c r="C48" s="363"/>
      <c r="D48" s="390"/>
      <c r="E48" s="391" t="s">
        <v>386</v>
      </c>
      <c r="F48" s="366"/>
      <c r="H48" s="347"/>
    </row>
    <row r="49" spans="1:8" ht="16.5" customHeight="1" x14ac:dyDescent="0.2">
      <c r="A49" s="361"/>
      <c r="B49" s="362"/>
      <c r="C49" s="363"/>
      <c r="D49" s="390"/>
      <c r="E49" s="391" t="s">
        <v>387</v>
      </c>
      <c r="F49" s="366"/>
      <c r="H49" s="347"/>
    </row>
    <row r="50" spans="1:8" ht="15" customHeight="1" x14ac:dyDescent="0.2">
      <c r="A50" s="361"/>
      <c r="B50" s="362"/>
      <c r="C50" s="363"/>
      <c r="D50" s="390"/>
      <c r="E50" s="391" t="s">
        <v>388</v>
      </c>
      <c r="F50" s="366"/>
      <c r="H50" s="347"/>
    </row>
    <row r="51" spans="1:8" ht="15.75" customHeight="1" x14ac:dyDescent="0.2">
      <c r="A51" s="361"/>
      <c r="B51" s="362"/>
      <c r="C51" s="363"/>
      <c r="D51" s="390"/>
      <c r="E51" s="391" t="s">
        <v>389</v>
      </c>
      <c r="F51" s="366"/>
      <c r="H51" s="347"/>
    </row>
    <row r="52" spans="1:8" ht="16.5" customHeight="1" x14ac:dyDescent="0.2">
      <c r="A52" s="361"/>
      <c r="B52" s="362"/>
      <c r="C52" s="363"/>
      <c r="D52" s="390"/>
      <c r="E52" s="391" t="s">
        <v>390</v>
      </c>
      <c r="F52" s="366"/>
      <c r="H52" s="347"/>
    </row>
    <row r="53" spans="1:8" ht="15" customHeight="1" x14ac:dyDescent="0.2">
      <c r="A53" s="361"/>
      <c r="B53" s="362"/>
      <c r="C53" s="363"/>
      <c r="D53" s="390"/>
      <c r="E53" s="391" t="s">
        <v>391</v>
      </c>
      <c r="F53" s="366"/>
      <c r="H53" s="347"/>
    </row>
    <row r="54" spans="1:8" ht="15.75" customHeight="1" x14ac:dyDescent="0.2">
      <c r="A54" s="381"/>
      <c r="B54" s="368"/>
      <c r="C54" s="392"/>
      <c r="D54" s="371"/>
      <c r="E54" s="393" t="s">
        <v>392</v>
      </c>
      <c r="F54" s="382"/>
      <c r="H54" s="347"/>
    </row>
    <row r="55" spans="1:8" ht="36" customHeight="1" x14ac:dyDescent="0.2">
      <c r="A55" s="350">
        <v>11</v>
      </c>
      <c r="B55" s="350">
        <v>801</v>
      </c>
      <c r="C55" s="353">
        <v>80117</v>
      </c>
      <c r="D55" s="371" t="s">
        <v>363</v>
      </c>
      <c r="E55" s="353" t="s">
        <v>197</v>
      </c>
      <c r="F55" s="354">
        <f>741.67+861+776+10353+828+796-8665+856+13500+854</f>
        <v>20900.669999999998</v>
      </c>
      <c r="H55" s="347"/>
    </row>
    <row r="56" spans="1:8" ht="15.75" customHeight="1" x14ac:dyDescent="0.2">
      <c r="A56" s="355"/>
      <c r="B56" s="356"/>
      <c r="C56" s="356"/>
      <c r="D56" s="372"/>
      <c r="E56" s="394" t="s">
        <v>393</v>
      </c>
      <c r="F56" s="360"/>
      <c r="H56" s="347"/>
    </row>
    <row r="57" spans="1:8" ht="24" customHeight="1" x14ac:dyDescent="0.2">
      <c r="A57" s="381"/>
      <c r="B57" s="368"/>
      <c r="C57" s="368"/>
      <c r="D57" s="369"/>
      <c r="E57" s="395" t="s">
        <v>394</v>
      </c>
      <c r="F57" s="382"/>
      <c r="H57" s="347"/>
    </row>
    <row r="58" spans="1:8" ht="22.5" customHeight="1" x14ac:dyDescent="0.2">
      <c r="A58" s="350">
        <v>12</v>
      </c>
      <c r="B58" s="350">
        <v>801</v>
      </c>
      <c r="C58" s="353">
        <v>80120</v>
      </c>
      <c r="D58" s="371" t="s">
        <v>395</v>
      </c>
      <c r="E58" s="353" t="s">
        <v>74</v>
      </c>
      <c r="F58" s="354">
        <f>8442.4+10140+9354+859+9992+9982+19497+10331+81000+10316</f>
        <v>169913.4</v>
      </c>
      <c r="H58" s="347"/>
    </row>
    <row r="59" spans="1:8" ht="23.25" customHeight="1" x14ac:dyDescent="0.2">
      <c r="A59" s="361"/>
      <c r="B59" s="362"/>
      <c r="C59" s="356"/>
      <c r="D59" s="372"/>
      <c r="E59" s="396" t="s">
        <v>396</v>
      </c>
      <c r="F59" s="366"/>
      <c r="H59" s="347"/>
    </row>
    <row r="60" spans="1:8" ht="33" customHeight="1" x14ac:dyDescent="0.2">
      <c r="A60" s="361"/>
      <c r="B60" s="362"/>
      <c r="C60" s="362"/>
      <c r="D60" s="374"/>
      <c r="E60" s="365" t="s">
        <v>397</v>
      </c>
      <c r="F60" s="366"/>
      <c r="H60" s="347"/>
    </row>
    <row r="61" spans="1:8" ht="15.75" customHeight="1" x14ac:dyDescent="0.2">
      <c r="A61" s="361"/>
      <c r="B61" s="362"/>
      <c r="C61" s="362"/>
      <c r="D61" s="374"/>
      <c r="E61" s="365" t="s">
        <v>398</v>
      </c>
      <c r="F61" s="366"/>
      <c r="H61" s="347"/>
    </row>
    <row r="62" spans="1:8" ht="22.5" customHeight="1" x14ac:dyDescent="0.2">
      <c r="A62" s="361"/>
      <c r="B62" s="362"/>
      <c r="C62" s="362"/>
      <c r="D62" s="374"/>
      <c r="E62" s="365" t="s">
        <v>399</v>
      </c>
      <c r="F62" s="366"/>
      <c r="H62" s="347"/>
    </row>
    <row r="63" spans="1:8" ht="21.75" customHeight="1" x14ac:dyDescent="0.2">
      <c r="A63" s="361"/>
      <c r="B63" s="362"/>
      <c r="C63" s="362"/>
      <c r="D63" s="374"/>
      <c r="E63" s="365" t="s">
        <v>400</v>
      </c>
      <c r="F63" s="366"/>
      <c r="H63" s="347"/>
    </row>
    <row r="64" spans="1:8" ht="15" customHeight="1" x14ac:dyDescent="0.2">
      <c r="A64" s="361"/>
      <c r="B64" s="362"/>
      <c r="C64" s="362"/>
      <c r="D64" s="374"/>
      <c r="E64" s="365" t="s">
        <v>401</v>
      </c>
      <c r="F64" s="366"/>
      <c r="H64" s="347"/>
    </row>
    <row r="65" spans="1:8" ht="14.25" customHeight="1" x14ac:dyDescent="0.2">
      <c r="A65" s="361"/>
      <c r="B65" s="362"/>
      <c r="C65" s="362"/>
      <c r="D65" s="374"/>
      <c r="E65" s="365" t="s">
        <v>402</v>
      </c>
      <c r="F65" s="366"/>
      <c r="H65" s="347"/>
    </row>
    <row r="66" spans="1:8" ht="13.5" customHeight="1" x14ac:dyDescent="0.2">
      <c r="A66" s="361"/>
      <c r="B66" s="362"/>
      <c r="C66" s="362"/>
      <c r="D66" s="374"/>
      <c r="E66" s="365" t="s">
        <v>403</v>
      </c>
      <c r="F66" s="366"/>
      <c r="H66" s="347"/>
    </row>
    <row r="67" spans="1:8" ht="14.25" customHeight="1" x14ac:dyDescent="0.2">
      <c r="A67" s="381"/>
      <c r="B67" s="368"/>
      <c r="C67" s="368"/>
      <c r="D67" s="369"/>
      <c r="E67" s="397" t="s">
        <v>404</v>
      </c>
      <c r="F67" s="382"/>
      <c r="H67" s="347"/>
    </row>
    <row r="68" spans="1:8" ht="46.5" customHeight="1" x14ac:dyDescent="0.2">
      <c r="A68" s="398">
        <v>13</v>
      </c>
      <c r="B68" s="398">
        <v>801</v>
      </c>
      <c r="C68" s="399">
        <v>80149</v>
      </c>
      <c r="D68" s="352">
        <v>2830</v>
      </c>
      <c r="E68" s="400" t="s">
        <v>405</v>
      </c>
      <c r="F68" s="401">
        <f>28125</f>
        <v>28125</v>
      </c>
      <c r="H68" s="347"/>
    </row>
    <row r="69" spans="1:8" ht="15.75" customHeight="1" x14ac:dyDescent="0.2">
      <c r="A69" s="402"/>
      <c r="B69" s="403"/>
      <c r="C69" s="403"/>
      <c r="D69" s="358"/>
      <c r="E69" s="404" t="s">
        <v>406</v>
      </c>
      <c r="F69" s="405"/>
      <c r="H69" s="347"/>
    </row>
    <row r="70" spans="1:8" ht="15.75" customHeight="1" x14ac:dyDescent="0.2">
      <c r="A70" s="406"/>
      <c r="B70" s="407"/>
      <c r="C70" s="407"/>
      <c r="D70" s="364"/>
      <c r="E70" s="408" t="s">
        <v>407</v>
      </c>
      <c r="F70" s="409"/>
      <c r="H70" s="347"/>
    </row>
    <row r="71" spans="1:8" ht="15" customHeight="1" x14ac:dyDescent="0.2">
      <c r="A71" s="410"/>
      <c r="B71" s="411"/>
      <c r="C71" s="411"/>
      <c r="D71" s="352"/>
      <c r="E71" s="412" t="s">
        <v>408</v>
      </c>
      <c r="F71" s="413"/>
      <c r="H71" s="347"/>
    </row>
    <row r="72" spans="1:8" ht="48" customHeight="1" x14ac:dyDescent="0.2">
      <c r="A72" s="398">
        <v>14</v>
      </c>
      <c r="B72" s="398">
        <v>801</v>
      </c>
      <c r="C72" s="399">
        <v>80153</v>
      </c>
      <c r="D72" s="352" t="s">
        <v>409</v>
      </c>
      <c r="E72" s="400" t="s">
        <v>410</v>
      </c>
      <c r="F72" s="401">
        <f>85604.57+27.23+27.23-27.23</f>
        <v>85631.8</v>
      </c>
      <c r="H72" s="347"/>
    </row>
    <row r="73" spans="1:8" ht="12.75" customHeight="1" x14ac:dyDescent="0.2">
      <c r="A73" s="414"/>
      <c r="B73" s="415"/>
      <c r="C73" s="415"/>
      <c r="D73" s="416"/>
      <c r="E73" s="417" t="s">
        <v>411</v>
      </c>
      <c r="F73" s="418"/>
      <c r="H73" s="347"/>
    </row>
    <row r="74" spans="1:8" ht="12.75" customHeight="1" x14ac:dyDescent="0.2">
      <c r="A74" s="419"/>
      <c r="B74" s="420"/>
      <c r="C74" s="420"/>
      <c r="D74" s="421"/>
      <c r="E74" s="422" t="s">
        <v>360</v>
      </c>
      <c r="F74" s="423"/>
      <c r="H74" s="347"/>
    </row>
    <row r="75" spans="1:8" ht="24.75" customHeight="1" x14ac:dyDescent="0.2">
      <c r="A75" s="419"/>
      <c r="B75" s="420"/>
      <c r="C75" s="420"/>
      <c r="D75" s="421"/>
      <c r="E75" s="424" t="s">
        <v>412</v>
      </c>
      <c r="F75" s="425"/>
      <c r="H75" s="347"/>
    </row>
    <row r="76" spans="1:8" ht="12.75" customHeight="1" x14ac:dyDescent="0.2">
      <c r="A76" s="426"/>
      <c r="B76" s="427"/>
      <c r="C76" s="427"/>
      <c r="D76" s="428"/>
      <c r="E76" s="429" t="s">
        <v>413</v>
      </c>
      <c r="F76" s="430"/>
      <c r="H76" s="347"/>
    </row>
    <row r="77" spans="1:8" ht="36" customHeight="1" x14ac:dyDescent="0.2">
      <c r="A77" s="431">
        <v>15</v>
      </c>
      <c r="B77" s="431">
        <v>801</v>
      </c>
      <c r="C77" s="432">
        <v>80195</v>
      </c>
      <c r="D77" s="369">
        <v>2827</v>
      </c>
      <c r="E77" s="433" t="s">
        <v>414</v>
      </c>
      <c r="F77" s="346">
        <f>14126-4851.46+30717+265865.03-48827.21+120444.72</f>
        <v>377474.08</v>
      </c>
      <c r="H77" s="347"/>
    </row>
    <row r="78" spans="1:8" ht="15" customHeight="1" x14ac:dyDescent="0.2">
      <c r="A78" s="343">
        <v>16</v>
      </c>
      <c r="B78" s="343">
        <v>851</v>
      </c>
      <c r="C78" s="434">
        <v>85153</v>
      </c>
      <c r="D78" s="369">
        <v>2820</v>
      </c>
      <c r="E78" s="432" t="s">
        <v>415</v>
      </c>
      <c r="F78" s="435">
        <v>60000</v>
      </c>
      <c r="H78" s="347"/>
    </row>
    <row r="79" spans="1:8" ht="36" customHeight="1" x14ac:dyDescent="0.2">
      <c r="A79" s="343">
        <v>17</v>
      </c>
      <c r="B79" s="343">
        <v>851</v>
      </c>
      <c r="C79" s="434">
        <v>85154</v>
      </c>
      <c r="D79" s="344">
        <v>2820</v>
      </c>
      <c r="E79" s="345" t="s">
        <v>416</v>
      </c>
      <c r="F79" s="346">
        <f>500000+40000</f>
        <v>540000</v>
      </c>
    </row>
    <row r="80" spans="1:8" ht="24.75" customHeight="1" x14ac:dyDescent="0.2">
      <c r="A80" s="343">
        <v>18</v>
      </c>
      <c r="B80" s="343">
        <v>851</v>
      </c>
      <c r="C80" s="436">
        <v>85195</v>
      </c>
      <c r="D80" s="344">
        <v>2820</v>
      </c>
      <c r="E80" s="345" t="s">
        <v>417</v>
      </c>
      <c r="F80" s="346">
        <v>67500</v>
      </c>
    </row>
    <row r="81" spans="1:6" ht="24.75" customHeight="1" x14ac:dyDescent="0.2">
      <c r="A81" s="437">
        <v>19</v>
      </c>
      <c r="B81" s="438">
        <v>852</v>
      </c>
      <c r="C81" s="439">
        <v>85228</v>
      </c>
      <c r="D81" s="372">
        <v>2820</v>
      </c>
      <c r="E81" s="440" t="s">
        <v>418</v>
      </c>
      <c r="F81" s="346">
        <f>F82+F83</f>
        <v>10066730</v>
      </c>
    </row>
    <row r="82" spans="1:6" ht="13.5" customHeight="1" x14ac:dyDescent="0.2">
      <c r="A82" s="441" t="s">
        <v>419</v>
      </c>
      <c r="B82" s="438"/>
      <c r="C82" s="439"/>
      <c r="D82" s="372"/>
      <c r="E82" s="440" t="s">
        <v>420</v>
      </c>
      <c r="F82" s="442">
        <f>7600000-413770</f>
        <v>7186230</v>
      </c>
    </row>
    <row r="83" spans="1:6" ht="13.5" customHeight="1" x14ac:dyDescent="0.2">
      <c r="A83" s="441" t="s">
        <v>421</v>
      </c>
      <c r="B83" s="438"/>
      <c r="C83" s="439"/>
      <c r="D83" s="372"/>
      <c r="E83" s="440" t="s">
        <v>422</v>
      </c>
      <c r="F83" s="442">
        <v>2880500</v>
      </c>
    </row>
    <row r="84" spans="1:6" ht="25.5" customHeight="1" x14ac:dyDescent="0.2">
      <c r="A84" s="343">
        <v>20</v>
      </c>
      <c r="B84" s="343">
        <v>852</v>
      </c>
      <c r="C84" s="434">
        <v>85295</v>
      </c>
      <c r="D84" s="344">
        <v>2820</v>
      </c>
      <c r="E84" s="345" t="s">
        <v>423</v>
      </c>
      <c r="F84" s="341">
        <f>1742700+187270</f>
        <v>1929970</v>
      </c>
    </row>
    <row r="85" spans="1:6" ht="26.25" customHeight="1" x14ac:dyDescent="0.2">
      <c r="A85" s="343">
        <v>21</v>
      </c>
      <c r="B85" s="343">
        <v>852</v>
      </c>
      <c r="C85" s="434">
        <v>85295</v>
      </c>
      <c r="D85" s="344">
        <v>2827</v>
      </c>
      <c r="E85" s="345" t="s">
        <v>424</v>
      </c>
      <c r="F85" s="346">
        <f>115543.68+289564.4</f>
        <v>405108.08</v>
      </c>
    </row>
    <row r="86" spans="1:6" ht="26.25" customHeight="1" x14ac:dyDescent="0.2">
      <c r="A86" s="343">
        <v>22</v>
      </c>
      <c r="B86" s="343">
        <v>853</v>
      </c>
      <c r="C86" s="434">
        <v>85395</v>
      </c>
      <c r="D86" s="344">
        <v>2820</v>
      </c>
      <c r="E86" s="345" t="s">
        <v>425</v>
      </c>
      <c r="F86" s="346">
        <v>20000</v>
      </c>
    </row>
    <row r="87" spans="1:6" ht="34.5" customHeight="1" x14ac:dyDescent="0.2">
      <c r="A87" s="343">
        <v>23</v>
      </c>
      <c r="B87" s="343">
        <v>853</v>
      </c>
      <c r="C87" s="434">
        <v>85395</v>
      </c>
      <c r="D87" s="348" t="s">
        <v>353</v>
      </c>
      <c r="E87" s="349" t="s">
        <v>354</v>
      </c>
      <c r="F87" s="346">
        <f>27806.52+157570.3+35322.49+200160.75</f>
        <v>420860.05999999994</v>
      </c>
    </row>
    <row r="88" spans="1:6" ht="18" customHeight="1" x14ac:dyDescent="0.2">
      <c r="A88" s="343">
        <v>24</v>
      </c>
      <c r="B88" s="343">
        <v>854</v>
      </c>
      <c r="C88" s="434">
        <v>85402</v>
      </c>
      <c r="D88" s="348">
        <v>2830</v>
      </c>
      <c r="E88" s="349" t="s">
        <v>426</v>
      </c>
      <c r="F88" s="346">
        <f>6750</f>
        <v>6750</v>
      </c>
    </row>
    <row r="89" spans="1:6" ht="15" customHeight="1" x14ac:dyDescent="0.2">
      <c r="A89" s="434"/>
      <c r="B89" s="436"/>
      <c r="C89" s="436"/>
      <c r="D89" s="348"/>
      <c r="E89" s="349" t="s">
        <v>427</v>
      </c>
      <c r="F89" s="346"/>
    </row>
    <row r="90" spans="1:6" ht="26.25" customHeight="1" x14ac:dyDescent="0.2">
      <c r="A90" s="343">
        <v>25</v>
      </c>
      <c r="B90" s="343">
        <v>854</v>
      </c>
      <c r="C90" s="434">
        <v>85406</v>
      </c>
      <c r="D90" s="348">
        <v>2830</v>
      </c>
      <c r="E90" s="349" t="s">
        <v>428</v>
      </c>
      <c r="F90" s="346">
        <f>5625</f>
        <v>5625</v>
      </c>
    </row>
    <row r="91" spans="1:6" ht="15" customHeight="1" x14ac:dyDescent="0.2">
      <c r="A91" s="434"/>
      <c r="B91" s="436"/>
      <c r="C91" s="436"/>
      <c r="D91" s="348"/>
      <c r="E91" s="349" t="s">
        <v>429</v>
      </c>
      <c r="F91" s="346"/>
    </row>
    <row r="92" spans="1:6" ht="18.75" customHeight="1" x14ac:dyDescent="0.2">
      <c r="A92" s="343">
        <v>26</v>
      </c>
      <c r="B92" s="343">
        <v>854</v>
      </c>
      <c r="C92" s="434">
        <v>85410</v>
      </c>
      <c r="D92" s="348">
        <v>2830</v>
      </c>
      <c r="E92" s="349" t="s">
        <v>86</v>
      </c>
      <c r="F92" s="346">
        <f>12375</f>
        <v>12375</v>
      </c>
    </row>
    <row r="93" spans="1:6" ht="14.25" customHeight="1" x14ac:dyDescent="0.2">
      <c r="A93" s="434"/>
      <c r="B93" s="436"/>
      <c r="C93" s="436"/>
      <c r="D93" s="348"/>
      <c r="E93" s="349" t="s">
        <v>430</v>
      </c>
      <c r="F93" s="346"/>
    </row>
    <row r="94" spans="1:6" ht="15.75" customHeight="1" x14ac:dyDescent="0.2">
      <c r="A94" s="443">
        <v>27</v>
      </c>
      <c r="B94" s="443">
        <v>855</v>
      </c>
      <c r="C94" s="443">
        <v>85510</v>
      </c>
      <c r="D94" s="444">
        <v>2830</v>
      </c>
      <c r="E94" s="440" t="s">
        <v>248</v>
      </c>
      <c r="F94" s="341">
        <f>2508000+243500</f>
        <v>2751500</v>
      </c>
    </row>
    <row r="95" spans="1:6" ht="22.5" customHeight="1" x14ac:dyDescent="0.2">
      <c r="A95" s="343">
        <v>28</v>
      </c>
      <c r="B95" s="343">
        <v>900</v>
      </c>
      <c r="C95" s="343">
        <v>90005</v>
      </c>
      <c r="D95" s="344">
        <v>6230</v>
      </c>
      <c r="E95" s="345" t="s">
        <v>431</v>
      </c>
      <c r="F95" s="341">
        <f>F96+F97</f>
        <v>600000</v>
      </c>
    </row>
    <row r="96" spans="1:6" ht="15" customHeight="1" x14ac:dyDescent="0.2">
      <c r="A96" s="445" t="s">
        <v>432</v>
      </c>
      <c r="B96" s="343"/>
      <c r="C96" s="343"/>
      <c r="D96" s="344"/>
      <c r="E96" s="446" t="s">
        <v>433</v>
      </c>
      <c r="F96" s="447">
        <v>300000</v>
      </c>
    </row>
    <row r="97" spans="1:8" ht="13.5" customHeight="1" x14ac:dyDescent="0.2">
      <c r="A97" s="445" t="s">
        <v>434</v>
      </c>
      <c r="B97" s="343"/>
      <c r="C97" s="343"/>
      <c r="D97" s="344"/>
      <c r="E97" s="446" t="s">
        <v>435</v>
      </c>
      <c r="F97" s="447">
        <v>300000</v>
      </c>
    </row>
    <row r="98" spans="1:8" ht="15.75" customHeight="1" x14ac:dyDescent="0.2">
      <c r="A98" s="443">
        <v>29</v>
      </c>
      <c r="B98" s="443">
        <v>921</v>
      </c>
      <c r="C98" s="443">
        <v>92120</v>
      </c>
      <c r="D98" s="444">
        <v>2720</v>
      </c>
      <c r="E98" s="448" t="s">
        <v>436</v>
      </c>
      <c r="F98" s="341">
        <v>600000</v>
      </c>
    </row>
    <row r="99" spans="1:8" ht="36.75" customHeight="1" x14ac:dyDescent="0.2">
      <c r="A99" s="343">
        <v>30</v>
      </c>
      <c r="B99" s="343">
        <v>921</v>
      </c>
      <c r="C99" s="343">
        <v>92195</v>
      </c>
      <c r="D99" s="348" t="s">
        <v>437</v>
      </c>
      <c r="E99" s="345" t="s">
        <v>438</v>
      </c>
      <c r="F99" s="449">
        <v>222000</v>
      </c>
    </row>
    <row r="100" spans="1:8" ht="35.25" customHeight="1" x14ac:dyDescent="0.2">
      <c r="A100" s="343">
        <v>31</v>
      </c>
      <c r="B100" s="343">
        <v>921</v>
      </c>
      <c r="C100" s="343">
        <v>92195</v>
      </c>
      <c r="D100" s="348" t="s">
        <v>353</v>
      </c>
      <c r="E100" s="349" t="s">
        <v>439</v>
      </c>
      <c r="F100" s="346">
        <f>48080.44+272455.82</f>
        <v>320536.26</v>
      </c>
    </row>
    <row r="101" spans="1:8" ht="36.75" customHeight="1" x14ac:dyDescent="0.2">
      <c r="A101" s="343">
        <v>32</v>
      </c>
      <c r="B101" s="343">
        <v>926</v>
      </c>
      <c r="C101" s="343">
        <v>92605</v>
      </c>
      <c r="D101" s="348" t="s">
        <v>440</v>
      </c>
      <c r="E101" s="450" t="s">
        <v>441</v>
      </c>
      <c r="F101" s="346">
        <f>1936300+200000+2200-2200+300000</f>
        <v>2436300</v>
      </c>
    </row>
    <row r="102" spans="1:8" ht="49.5" customHeight="1" x14ac:dyDescent="0.2">
      <c r="A102" s="434">
        <v>33</v>
      </c>
      <c r="B102" s="343">
        <v>926</v>
      </c>
      <c r="C102" s="343">
        <v>92605</v>
      </c>
      <c r="D102" s="348" t="s">
        <v>442</v>
      </c>
      <c r="E102" s="451" t="s">
        <v>443</v>
      </c>
      <c r="F102" s="346">
        <f>16026.81+90818.61+8013.4+45409.31-8013.4-45409.31</f>
        <v>106845.42000000001</v>
      </c>
    </row>
    <row r="103" spans="1:8" ht="15" customHeight="1" x14ac:dyDescent="0.2">
      <c r="A103" s="601"/>
      <c r="B103" s="602"/>
      <c r="C103" s="602"/>
      <c r="D103" s="334"/>
      <c r="E103" s="602" t="s">
        <v>444</v>
      </c>
      <c r="F103" s="603">
        <f>F102+F101+F100+F99+F98+F95+F94+F92+F90+F88+F87+F86+F85+F84+F81+F80+F79+F78+F72+F68+F58+F55+F43+F41+F39+F24+F17+F77+F16+F15+F14+F13+F12</f>
        <v>23729581.93</v>
      </c>
      <c r="H103" s="347"/>
    </row>
    <row r="104" spans="1:8" ht="17.25" customHeight="1" x14ac:dyDescent="0.2">
      <c r="A104" s="598" t="s">
        <v>445</v>
      </c>
      <c r="B104" s="599"/>
      <c r="C104" s="599"/>
      <c r="D104" s="334"/>
      <c r="E104" s="599"/>
      <c r="F104" s="600"/>
    </row>
    <row r="105" spans="1:8" ht="17.25" customHeight="1" x14ac:dyDescent="0.2">
      <c r="A105" s="327" t="s">
        <v>60</v>
      </c>
      <c r="B105" s="327" t="s">
        <v>297</v>
      </c>
      <c r="C105" s="327" t="s">
        <v>334</v>
      </c>
      <c r="D105" s="344"/>
      <c r="E105" s="452" t="s">
        <v>446</v>
      </c>
      <c r="F105" s="327" t="s">
        <v>348</v>
      </c>
    </row>
    <row r="106" spans="1:8" ht="24" customHeight="1" x14ac:dyDescent="0.2">
      <c r="A106" s="343">
        <v>1</v>
      </c>
      <c r="B106" s="343">
        <v>801</v>
      </c>
      <c r="C106" s="343">
        <v>80101</v>
      </c>
      <c r="D106" s="453" t="s">
        <v>447</v>
      </c>
      <c r="E106" s="436" t="s">
        <v>18</v>
      </c>
      <c r="F106" s="341">
        <f>2602394+5833078+110000+170000</f>
        <v>8715472</v>
      </c>
    </row>
    <row r="107" spans="1:8" ht="16.5" customHeight="1" x14ac:dyDescent="0.2">
      <c r="A107" s="454"/>
      <c r="B107" s="455"/>
      <c r="C107" s="456"/>
      <c r="D107" s="372"/>
      <c r="E107" s="457" t="s">
        <v>448</v>
      </c>
      <c r="F107" s="458"/>
    </row>
    <row r="108" spans="1:8" ht="15" customHeight="1" x14ac:dyDescent="0.2">
      <c r="A108" s="459"/>
      <c r="B108" s="460"/>
      <c r="C108" s="461"/>
      <c r="D108" s="374"/>
      <c r="E108" s="462" t="s">
        <v>362</v>
      </c>
      <c r="F108" s="463"/>
      <c r="G108" s="464"/>
    </row>
    <row r="109" spans="1:8" ht="26.25" customHeight="1" x14ac:dyDescent="0.2">
      <c r="A109" s="465"/>
      <c r="B109" s="466"/>
      <c r="C109" s="467"/>
      <c r="D109" s="369"/>
      <c r="E109" s="468" t="s">
        <v>449</v>
      </c>
      <c r="F109" s="469"/>
    </row>
    <row r="110" spans="1:8" ht="27" customHeight="1" x14ac:dyDescent="0.2">
      <c r="A110" s="459"/>
      <c r="B110" s="460"/>
      <c r="C110" s="461"/>
      <c r="D110" s="374"/>
      <c r="E110" s="470" t="s">
        <v>450</v>
      </c>
      <c r="F110" s="471"/>
    </row>
    <row r="111" spans="1:8" ht="14.25" customHeight="1" x14ac:dyDescent="0.2">
      <c r="A111" s="459"/>
      <c r="B111" s="460"/>
      <c r="C111" s="461"/>
      <c r="D111" s="374"/>
      <c r="E111" s="472" t="s">
        <v>360</v>
      </c>
      <c r="F111" s="463"/>
    </row>
    <row r="112" spans="1:8" ht="24" customHeight="1" x14ac:dyDescent="0.2">
      <c r="A112" s="465"/>
      <c r="B112" s="466"/>
      <c r="C112" s="467"/>
      <c r="D112" s="369"/>
      <c r="E112" s="473" t="s">
        <v>412</v>
      </c>
      <c r="F112" s="435"/>
    </row>
    <row r="113" spans="1:6" ht="15" customHeight="1" x14ac:dyDescent="0.2">
      <c r="A113" s="443">
        <v>2</v>
      </c>
      <c r="B113" s="443">
        <v>801</v>
      </c>
      <c r="C113" s="443">
        <v>80103</v>
      </c>
      <c r="D113" s="444">
        <v>2540</v>
      </c>
      <c r="E113" s="474" t="s">
        <v>45</v>
      </c>
      <c r="F113" s="341">
        <f>152496</f>
        <v>152496</v>
      </c>
    </row>
    <row r="114" spans="1:6" ht="27" customHeight="1" x14ac:dyDescent="0.2">
      <c r="A114" s="459"/>
      <c r="B114" s="460"/>
      <c r="C114" s="461"/>
      <c r="D114" s="374"/>
      <c r="E114" s="475" t="s">
        <v>449</v>
      </c>
      <c r="F114" s="458"/>
    </row>
    <row r="115" spans="1:6" ht="15" customHeight="1" x14ac:dyDescent="0.2">
      <c r="A115" s="465"/>
      <c r="B115" s="466"/>
      <c r="C115" s="467"/>
      <c r="D115" s="369"/>
      <c r="E115" s="466" t="s">
        <v>360</v>
      </c>
      <c r="F115" s="435"/>
    </row>
    <row r="116" spans="1:6" ht="26.25" customHeight="1" x14ac:dyDescent="0.2">
      <c r="A116" s="343">
        <v>3</v>
      </c>
      <c r="B116" s="343">
        <v>801</v>
      </c>
      <c r="C116" s="343">
        <v>80104</v>
      </c>
      <c r="D116" s="348" t="s">
        <v>447</v>
      </c>
      <c r="E116" s="436" t="s">
        <v>46</v>
      </c>
      <c r="F116" s="449">
        <f>7360256+2051055-50000-353000+50000</f>
        <v>9058311</v>
      </c>
    </row>
    <row r="117" spans="1:6" ht="15.2" customHeight="1" x14ac:dyDescent="0.2">
      <c r="A117" s="454"/>
      <c r="B117" s="455"/>
      <c r="C117" s="456"/>
      <c r="D117" s="372"/>
      <c r="E117" s="457" t="s">
        <v>366</v>
      </c>
      <c r="F117" s="458"/>
    </row>
    <row r="118" spans="1:6" ht="15.2" customHeight="1" x14ac:dyDescent="0.2">
      <c r="A118" s="459"/>
      <c r="B118" s="460"/>
      <c r="C118" s="461"/>
      <c r="D118" s="374"/>
      <c r="E118" s="476" t="s">
        <v>364</v>
      </c>
      <c r="F118" s="463"/>
    </row>
    <row r="119" spans="1:6" ht="15.2" customHeight="1" x14ac:dyDescent="0.2">
      <c r="A119" s="459"/>
      <c r="B119" s="460"/>
      <c r="C119" s="461"/>
      <c r="D119" s="374"/>
      <c r="E119" s="477" t="s">
        <v>365</v>
      </c>
      <c r="F119" s="463"/>
    </row>
    <row r="120" spans="1:6" ht="23.25" customHeight="1" x14ac:dyDescent="0.2">
      <c r="A120" s="459"/>
      <c r="B120" s="460"/>
      <c r="C120" s="461"/>
      <c r="D120" s="478"/>
      <c r="E120" s="479" t="s">
        <v>451</v>
      </c>
      <c r="F120" s="471"/>
    </row>
    <row r="121" spans="1:6" ht="15.2" customHeight="1" x14ac:dyDescent="0.2">
      <c r="A121" s="459"/>
      <c r="B121" s="460"/>
      <c r="C121" s="461"/>
      <c r="D121" s="374"/>
      <c r="E121" s="476" t="s">
        <v>375</v>
      </c>
      <c r="F121" s="463"/>
    </row>
    <row r="122" spans="1:6" ht="15.2" customHeight="1" x14ac:dyDescent="0.2">
      <c r="A122" s="459"/>
      <c r="B122" s="460"/>
      <c r="C122" s="461"/>
      <c r="D122" s="374"/>
      <c r="E122" s="480" t="s">
        <v>371</v>
      </c>
      <c r="F122" s="463"/>
    </row>
    <row r="123" spans="1:6" ht="15.2" customHeight="1" x14ac:dyDescent="0.2">
      <c r="A123" s="459"/>
      <c r="B123" s="460"/>
      <c r="C123" s="461"/>
      <c r="D123" s="374"/>
      <c r="E123" s="480" t="s">
        <v>452</v>
      </c>
      <c r="F123" s="463"/>
    </row>
    <row r="124" spans="1:6" ht="15.2" customHeight="1" x14ac:dyDescent="0.2">
      <c r="A124" s="459"/>
      <c r="B124" s="460"/>
      <c r="C124" s="461"/>
      <c r="D124" s="374"/>
      <c r="E124" s="476" t="s">
        <v>368</v>
      </c>
      <c r="F124" s="463"/>
    </row>
    <row r="125" spans="1:6" ht="15.2" customHeight="1" x14ac:dyDescent="0.2">
      <c r="A125" s="459"/>
      <c r="B125" s="460"/>
      <c r="C125" s="461"/>
      <c r="D125" s="374"/>
      <c r="E125" s="476" t="s">
        <v>373</v>
      </c>
      <c r="F125" s="463"/>
    </row>
    <row r="126" spans="1:6" ht="15.2" customHeight="1" x14ac:dyDescent="0.2">
      <c r="A126" s="459"/>
      <c r="B126" s="460"/>
      <c r="C126" s="461"/>
      <c r="D126" s="374"/>
      <c r="E126" s="480" t="s">
        <v>453</v>
      </c>
      <c r="F126" s="463"/>
    </row>
    <row r="127" spans="1:6" ht="15.2" customHeight="1" x14ac:dyDescent="0.2">
      <c r="A127" s="459"/>
      <c r="B127" s="460"/>
      <c r="C127" s="461"/>
      <c r="D127" s="374"/>
      <c r="E127" s="481" t="s">
        <v>367</v>
      </c>
      <c r="F127" s="463"/>
    </row>
    <row r="128" spans="1:6" ht="15.2" customHeight="1" x14ac:dyDescent="0.2">
      <c r="A128" s="459"/>
      <c r="B128" s="460"/>
      <c r="C128" s="461"/>
      <c r="D128" s="374"/>
      <c r="E128" s="482" t="s">
        <v>369</v>
      </c>
      <c r="F128" s="471"/>
    </row>
    <row r="129" spans="1:6" ht="15.2" customHeight="1" x14ac:dyDescent="0.2">
      <c r="A129" s="459"/>
      <c r="B129" s="460"/>
      <c r="C129" s="461"/>
      <c r="D129" s="374"/>
      <c r="E129" s="472" t="s">
        <v>454</v>
      </c>
      <c r="F129" s="463"/>
    </row>
    <row r="130" spans="1:6" ht="15.2" customHeight="1" x14ac:dyDescent="0.2">
      <c r="A130" s="459"/>
      <c r="B130" s="460"/>
      <c r="C130" s="461"/>
      <c r="D130" s="374"/>
      <c r="E130" s="472" t="s">
        <v>455</v>
      </c>
      <c r="F130" s="463"/>
    </row>
    <row r="131" spans="1:6" ht="15.2" customHeight="1" x14ac:dyDescent="0.2">
      <c r="A131" s="465"/>
      <c r="B131" s="466"/>
      <c r="C131" s="467"/>
      <c r="D131" s="369"/>
      <c r="E131" s="483" t="s">
        <v>377</v>
      </c>
      <c r="F131" s="435"/>
    </row>
    <row r="132" spans="1:6" ht="17.25" customHeight="1" x14ac:dyDescent="0.2">
      <c r="A132" s="343">
        <v>4</v>
      </c>
      <c r="B132" s="343">
        <v>801</v>
      </c>
      <c r="C132" s="343">
        <v>80106</v>
      </c>
      <c r="D132" s="344">
        <v>2540</v>
      </c>
      <c r="E132" s="484" t="s">
        <v>456</v>
      </c>
      <c r="F132" s="346">
        <f>70572+23000</f>
        <v>93572</v>
      </c>
    </row>
    <row r="133" spans="1:6" ht="16.5" customHeight="1" x14ac:dyDescent="0.2">
      <c r="A133" s="459"/>
      <c r="B133" s="460"/>
      <c r="C133" s="461"/>
      <c r="D133" s="372"/>
      <c r="E133" s="485" t="s">
        <v>378</v>
      </c>
      <c r="F133" s="486"/>
    </row>
    <row r="134" spans="1:6" ht="13.5" customHeight="1" x14ac:dyDescent="0.2">
      <c r="A134" s="443">
        <v>5</v>
      </c>
      <c r="B134" s="443">
        <v>801</v>
      </c>
      <c r="C134" s="443">
        <v>80115</v>
      </c>
      <c r="D134" s="344">
        <v>2540</v>
      </c>
      <c r="E134" s="474" t="s">
        <v>72</v>
      </c>
      <c r="F134" s="341">
        <f>2702384+40000</f>
        <v>2742384</v>
      </c>
    </row>
    <row r="135" spans="1:6" ht="28.5" customHeight="1" x14ac:dyDescent="0.2">
      <c r="A135" s="448"/>
      <c r="B135" s="474"/>
      <c r="C135" s="487"/>
      <c r="D135" s="344"/>
      <c r="E135" s="488" t="s">
        <v>457</v>
      </c>
      <c r="F135" s="341"/>
    </row>
    <row r="136" spans="1:6" ht="13.5" customHeight="1" x14ac:dyDescent="0.2">
      <c r="A136" s="443">
        <v>6</v>
      </c>
      <c r="B136" s="443">
        <v>801</v>
      </c>
      <c r="C136" s="443">
        <v>80116</v>
      </c>
      <c r="D136" s="344">
        <v>2540</v>
      </c>
      <c r="E136" s="474" t="s">
        <v>381</v>
      </c>
      <c r="F136" s="341">
        <v>5194583</v>
      </c>
    </row>
    <row r="137" spans="1:6" ht="15" customHeight="1" x14ac:dyDescent="0.2">
      <c r="A137" s="454"/>
      <c r="B137" s="455"/>
      <c r="C137" s="456"/>
      <c r="D137" s="372"/>
      <c r="E137" s="489" t="s">
        <v>458</v>
      </c>
      <c r="F137" s="458"/>
    </row>
    <row r="138" spans="1:6" ht="25.5" customHeight="1" x14ac:dyDescent="0.2">
      <c r="A138" s="459"/>
      <c r="B138" s="460"/>
      <c r="C138" s="461"/>
      <c r="D138" s="374"/>
      <c r="E138" s="462" t="s">
        <v>459</v>
      </c>
      <c r="F138" s="463"/>
    </row>
    <row r="139" spans="1:6" ht="13.5" customHeight="1" x14ac:dyDescent="0.2">
      <c r="A139" s="459"/>
      <c r="B139" s="460"/>
      <c r="C139" s="461"/>
      <c r="D139" s="374"/>
      <c r="E139" s="472" t="s">
        <v>460</v>
      </c>
      <c r="F139" s="463"/>
    </row>
    <row r="140" spans="1:6" ht="25.5" customHeight="1" x14ac:dyDescent="0.2">
      <c r="A140" s="459"/>
      <c r="B140" s="460"/>
      <c r="C140" s="461"/>
      <c r="D140" s="374"/>
      <c r="E140" s="490" t="s">
        <v>461</v>
      </c>
      <c r="F140" s="471"/>
    </row>
    <row r="141" spans="1:6" ht="27.75" customHeight="1" x14ac:dyDescent="0.2">
      <c r="A141" s="459"/>
      <c r="B141" s="460"/>
      <c r="C141" s="461"/>
      <c r="D141" s="374"/>
      <c r="E141" s="462" t="s">
        <v>462</v>
      </c>
      <c r="F141" s="463"/>
    </row>
    <row r="142" spans="1:6" ht="15.75" customHeight="1" x14ac:dyDescent="0.2">
      <c r="A142" s="459"/>
      <c r="B142" s="460"/>
      <c r="C142" s="461"/>
      <c r="D142" s="374"/>
      <c r="E142" s="472" t="s">
        <v>463</v>
      </c>
      <c r="F142" s="463"/>
    </row>
    <row r="143" spans="1:6" ht="15" customHeight="1" x14ac:dyDescent="0.2">
      <c r="A143" s="459"/>
      <c r="B143" s="460"/>
      <c r="C143" s="461"/>
      <c r="D143" s="478"/>
      <c r="E143" s="491" t="s">
        <v>464</v>
      </c>
      <c r="F143" s="463"/>
    </row>
    <row r="144" spans="1:6" ht="15" customHeight="1" x14ac:dyDescent="0.2">
      <c r="A144" s="459"/>
      <c r="B144" s="460"/>
      <c r="C144" s="461"/>
      <c r="D144" s="478"/>
      <c r="E144" s="492" t="s">
        <v>465</v>
      </c>
      <c r="F144" s="471"/>
    </row>
    <row r="145" spans="1:6" ht="15.75" customHeight="1" x14ac:dyDescent="0.2">
      <c r="A145" s="459"/>
      <c r="B145" s="460"/>
      <c r="C145" s="461"/>
      <c r="D145" s="478"/>
      <c r="E145" s="482" t="s">
        <v>466</v>
      </c>
      <c r="F145" s="471"/>
    </row>
    <row r="146" spans="1:6" ht="27" customHeight="1" x14ac:dyDescent="0.2">
      <c r="A146" s="465"/>
      <c r="B146" s="466"/>
      <c r="C146" s="467"/>
      <c r="D146" s="369"/>
      <c r="E146" s="473" t="s">
        <v>467</v>
      </c>
      <c r="F146" s="435"/>
    </row>
    <row r="147" spans="1:6" ht="24.75" customHeight="1" x14ac:dyDescent="0.2">
      <c r="A147" s="343">
        <v>7</v>
      </c>
      <c r="B147" s="343">
        <v>801</v>
      </c>
      <c r="C147" s="343">
        <v>80117</v>
      </c>
      <c r="D147" s="348" t="s">
        <v>447</v>
      </c>
      <c r="E147" s="436" t="s">
        <v>197</v>
      </c>
      <c r="F147" s="341">
        <f>1606616+1004162-150000-50000</f>
        <v>2410778</v>
      </c>
    </row>
    <row r="148" spans="1:6" ht="28.5" customHeight="1" x14ac:dyDescent="0.2">
      <c r="A148" s="448"/>
      <c r="B148" s="474"/>
      <c r="C148" s="487"/>
      <c r="D148" s="344"/>
      <c r="E148" s="493" t="s">
        <v>468</v>
      </c>
      <c r="F148" s="341"/>
    </row>
    <row r="149" spans="1:6" ht="26.25" customHeight="1" x14ac:dyDescent="0.2">
      <c r="A149" s="459"/>
      <c r="B149" s="460"/>
      <c r="C149" s="461"/>
      <c r="D149" s="374"/>
      <c r="E149" s="494" t="s">
        <v>469</v>
      </c>
      <c r="F149" s="471"/>
    </row>
    <row r="150" spans="1:6" ht="25.5" customHeight="1" x14ac:dyDescent="0.2">
      <c r="A150" s="459"/>
      <c r="B150" s="460"/>
      <c r="C150" s="461"/>
      <c r="D150" s="374"/>
      <c r="E150" s="473" t="s">
        <v>394</v>
      </c>
      <c r="F150" s="486"/>
    </row>
    <row r="151" spans="1:6" ht="27" customHeight="1" x14ac:dyDescent="0.2">
      <c r="A151" s="343">
        <v>8</v>
      </c>
      <c r="B151" s="343">
        <v>801</v>
      </c>
      <c r="C151" s="343">
        <v>80120</v>
      </c>
      <c r="D151" s="348" t="s">
        <v>447</v>
      </c>
      <c r="E151" s="436" t="s">
        <v>74</v>
      </c>
      <c r="F151" s="341">
        <f>3353811+3084625-100000-110000</f>
        <v>6228436</v>
      </c>
    </row>
    <row r="152" spans="1:6" ht="16.5" customHeight="1" x14ac:dyDescent="0.2">
      <c r="A152" s="459"/>
      <c r="B152" s="460"/>
      <c r="C152" s="461"/>
      <c r="D152" s="374"/>
      <c r="E152" s="462" t="s">
        <v>470</v>
      </c>
      <c r="F152" s="463"/>
    </row>
    <row r="153" spans="1:6" ht="24.75" customHeight="1" x14ac:dyDescent="0.2">
      <c r="A153" s="459"/>
      <c r="B153" s="460"/>
      <c r="C153" s="461"/>
      <c r="D153" s="478"/>
      <c r="E153" s="462" t="s">
        <v>471</v>
      </c>
      <c r="F153" s="463"/>
    </row>
    <row r="154" spans="1:6" ht="24" customHeight="1" x14ac:dyDescent="0.2">
      <c r="A154" s="459"/>
      <c r="B154" s="460"/>
      <c r="C154" s="461"/>
      <c r="D154" s="478"/>
      <c r="E154" s="495" t="s">
        <v>472</v>
      </c>
      <c r="F154" s="463"/>
    </row>
    <row r="155" spans="1:6" ht="25.5" customHeight="1" x14ac:dyDescent="0.2">
      <c r="A155" s="459"/>
      <c r="B155" s="460"/>
      <c r="C155" s="461"/>
      <c r="D155" s="374"/>
      <c r="E155" s="462" t="s">
        <v>473</v>
      </c>
      <c r="F155" s="463"/>
    </row>
    <row r="156" spans="1:6" ht="25.5" customHeight="1" x14ac:dyDescent="0.2">
      <c r="A156" s="459"/>
      <c r="B156" s="460"/>
      <c r="C156" s="461"/>
      <c r="D156" s="374"/>
      <c r="E156" s="477" t="s">
        <v>474</v>
      </c>
      <c r="F156" s="463"/>
    </row>
    <row r="157" spans="1:6" ht="25.5" customHeight="1" x14ac:dyDescent="0.2">
      <c r="A157" s="459"/>
      <c r="B157" s="460"/>
      <c r="C157" s="461"/>
      <c r="D157" s="374"/>
      <c r="E157" s="470" t="s">
        <v>475</v>
      </c>
      <c r="F157" s="471"/>
    </row>
    <row r="158" spans="1:6" ht="26.25" customHeight="1" x14ac:dyDescent="0.2">
      <c r="A158" s="459"/>
      <c r="B158" s="460"/>
      <c r="C158" s="461"/>
      <c r="D158" s="374"/>
      <c r="E158" s="480" t="s">
        <v>476</v>
      </c>
      <c r="F158" s="463"/>
    </row>
    <row r="159" spans="1:6" ht="15" customHeight="1" x14ac:dyDescent="0.2">
      <c r="A159" s="459"/>
      <c r="B159" s="460"/>
      <c r="C159" s="461"/>
      <c r="D159" s="374"/>
      <c r="E159" s="472" t="s">
        <v>477</v>
      </c>
      <c r="F159" s="463"/>
    </row>
    <row r="160" spans="1:6" ht="15.75" customHeight="1" x14ac:dyDescent="0.2">
      <c r="A160" s="465"/>
      <c r="B160" s="466"/>
      <c r="C160" s="467"/>
      <c r="D160" s="369"/>
      <c r="E160" s="483" t="s">
        <v>404</v>
      </c>
      <c r="F160" s="435"/>
    </row>
    <row r="161" spans="1:6" ht="51" customHeight="1" x14ac:dyDescent="0.2">
      <c r="A161" s="343">
        <v>9</v>
      </c>
      <c r="B161" s="343">
        <v>801</v>
      </c>
      <c r="C161" s="343">
        <v>80149</v>
      </c>
      <c r="D161" s="348" t="s">
        <v>447</v>
      </c>
      <c r="E161" s="484" t="s">
        <v>405</v>
      </c>
      <c r="F161" s="346">
        <f>2272895+24507+59523.68+280000</f>
        <v>2636925.6800000002</v>
      </c>
    </row>
    <row r="162" spans="1:6" ht="28.5" customHeight="1" x14ac:dyDescent="0.2">
      <c r="A162" s="454"/>
      <c r="B162" s="455"/>
      <c r="C162" s="456"/>
      <c r="D162" s="496"/>
      <c r="E162" s="497" t="s">
        <v>478</v>
      </c>
      <c r="F162" s="458"/>
    </row>
    <row r="163" spans="1:6" ht="15.2" customHeight="1" x14ac:dyDescent="0.2">
      <c r="A163" s="459"/>
      <c r="B163" s="460"/>
      <c r="C163" s="461"/>
      <c r="D163" s="374"/>
      <c r="E163" s="480" t="s">
        <v>367</v>
      </c>
      <c r="F163" s="463"/>
    </row>
    <row r="164" spans="1:6" ht="15.2" customHeight="1" x14ac:dyDescent="0.2">
      <c r="A164" s="459"/>
      <c r="B164" s="460"/>
      <c r="C164" s="461"/>
      <c r="D164" s="374"/>
      <c r="E164" s="480" t="s">
        <v>479</v>
      </c>
      <c r="F164" s="463"/>
    </row>
    <row r="165" spans="1:6" ht="15.2" customHeight="1" x14ac:dyDescent="0.2">
      <c r="A165" s="459"/>
      <c r="B165" s="460"/>
      <c r="C165" s="461"/>
      <c r="D165" s="374"/>
      <c r="E165" s="498" t="s">
        <v>366</v>
      </c>
      <c r="F165" s="471"/>
    </row>
    <row r="166" spans="1:6" ht="15.2" customHeight="1" x14ac:dyDescent="0.2">
      <c r="A166" s="459"/>
      <c r="B166" s="460"/>
      <c r="C166" s="461"/>
      <c r="D166" s="374"/>
      <c r="E166" s="476" t="s">
        <v>365</v>
      </c>
      <c r="F166" s="463"/>
    </row>
    <row r="167" spans="1:6" ht="15.2" customHeight="1" x14ac:dyDescent="0.2">
      <c r="A167" s="459"/>
      <c r="B167" s="460"/>
      <c r="C167" s="461"/>
      <c r="D167" s="374"/>
      <c r="E167" s="480" t="s">
        <v>407</v>
      </c>
      <c r="F167" s="463"/>
    </row>
    <row r="168" spans="1:6" ht="15.2" customHeight="1" x14ac:dyDescent="0.2">
      <c r="A168" s="459"/>
      <c r="B168" s="460"/>
      <c r="C168" s="461"/>
      <c r="D168" s="374"/>
      <c r="E168" s="480" t="s">
        <v>406</v>
      </c>
      <c r="F168" s="463"/>
    </row>
    <row r="169" spans="1:6" ht="15.2" customHeight="1" x14ac:dyDescent="0.2">
      <c r="A169" s="459"/>
      <c r="B169" s="460"/>
      <c r="C169" s="461"/>
      <c r="D169" s="374"/>
      <c r="E169" s="480" t="s">
        <v>452</v>
      </c>
      <c r="F169" s="463"/>
    </row>
    <row r="170" spans="1:6" ht="15.2" customHeight="1" x14ac:dyDescent="0.2">
      <c r="A170" s="459"/>
      <c r="B170" s="460"/>
      <c r="C170" s="461"/>
      <c r="D170" s="499"/>
      <c r="E170" s="476" t="s">
        <v>368</v>
      </c>
      <c r="F170" s="463"/>
    </row>
    <row r="171" spans="1:6" ht="15.2" customHeight="1" x14ac:dyDescent="0.2">
      <c r="A171" s="459"/>
      <c r="B171" s="460"/>
      <c r="C171" s="461"/>
      <c r="D171" s="374"/>
      <c r="E171" s="476" t="s">
        <v>364</v>
      </c>
      <c r="F171" s="463"/>
    </row>
    <row r="172" spans="1:6" ht="15.2" customHeight="1" x14ac:dyDescent="0.2">
      <c r="A172" s="459"/>
      <c r="B172" s="460"/>
      <c r="C172" s="461"/>
      <c r="D172" s="374"/>
      <c r="E172" s="470" t="s">
        <v>377</v>
      </c>
      <c r="F172" s="471"/>
    </row>
    <row r="173" spans="1:6" ht="15.2" customHeight="1" x14ac:dyDescent="0.2">
      <c r="A173" s="459"/>
      <c r="B173" s="460"/>
      <c r="C173" s="461"/>
      <c r="D173" s="374"/>
      <c r="E173" s="480" t="s">
        <v>371</v>
      </c>
      <c r="F173" s="463"/>
    </row>
    <row r="174" spans="1:6" ht="15.2" customHeight="1" x14ac:dyDescent="0.2">
      <c r="A174" s="465"/>
      <c r="B174" s="466"/>
      <c r="C174" s="467"/>
      <c r="D174" s="369"/>
      <c r="E174" s="500" t="s">
        <v>454</v>
      </c>
      <c r="F174" s="435"/>
    </row>
    <row r="175" spans="1:6" ht="39" customHeight="1" x14ac:dyDescent="0.2">
      <c r="A175" s="343">
        <v>10</v>
      </c>
      <c r="B175" s="343">
        <v>801</v>
      </c>
      <c r="C175" s="343">
        <v>80150</v>
      </c>
      <c r="D175" s="348" t="s">
        <v>447</v>
      </c>
      <c r="E175" s="484" t="s">
        <v>480</v>
      </c>
      <c r="F175" s="346">
        <f>158853+90670+100000+100000+100000</f>
        <v>549523</v>
      </c>
    </row>
    <row r="176" spans="1:6" ht="25.5" customHeight="1" x14ac:dyDescent="0.2">
      <c r="A176" s="459"/>
      <c r="B176" s="460"/>
      <c r="C176" s="461"/>
      <c r="D176" s="374"/>
      <c r="E176" s="462" t="s">
        <v>481</v>
      </c>
      <c r="F176" s="463"/>
    </row>
    <row r="177" spans="1:7" ht="16.5" customHeight="1" x14ac:dyDescent="0.2">
      <c r="A177" s="459"/>
      <c r="B177" s="460"/>
      <c r="C177" s="461"/>
      <c r="D177" s="501"/>
      <c r="E177" s="502" t="s">
        <v>360</v>
      </c>
      <c r="F177" s="463"/>
    </row>
    <row r="178" spans="1:7" ht="16.5" customHeight="1" x14ac:dyDescent="0.2">
      <c r="A178" s="459"/>
      <c r="B178" s="460"/>
      <c r="C178" s="461"/>
      <c r="D178" s="374"/>
      <c r="E178" s="470" t="s">
        <v>448</v>
      </c>
      <c r="F178" s="471"/>
    </row>
    <row r="179" spans="1:7" ht="15.75" customHeight="1" x14ac:dyDescent="0.2">
      <c r="A179" s="465"/>
      <c r="B179" s="466"/>
      <c r="C179" s="467"/>
      <c r="D179" s="369"/>
      <c r="E179" s="473" t="s">
        <v>362</v>
      </c>
      <c r="F179" s="435"/>
      <c r="G179" s="464"/>
    </row>
    <row r="180" spans="1:7" ht="13.5" customHeight="1" x14ac:dyDescent="0.2">
      <c r="A180" s="443">
        <v>11</v>
      </c>
      <c r="B180" s="443">
        <v>801</v>
      </c>
      <c r="C180" s="443">
        <v>80151</v>
      </c>
      <c r="D180" s="344">
        <v>2540</v>
      </c>
      <c r="E180" s="474" t="s">
        <v>206</v>
      </c>
      <c r="F180" s="341">
        <f>60410-50000</f>
        <v>10410</v>
      </c>
    </row>
    <row r="181" spans="1:7" ht="15.2" customHeight="1" x14ac:dyDescent="0.2">
      <c r="A181" s="454"/>
      <c r="B181" s="455"/>
      <c r="C181" s="456"/>
      <c r="D181" s="496"/>
      <c r="E181" s="489" t="s">
        <v>482</v>
      </c>
      <c r="F181" s="458"/>
    </row>
    <row r="182" spans="1:7" ht="15.2" customHeight="1" x14ac:dyDescent="0.2">
      <c r="A182" s="465"/>
      <c r="B182" s="466"/>
      <c r="C182" s="467"/>
      <c r="D182" s="503"/>
      <c r="E182" s="483" t="s">
        <v>483</v>
      </c>
      <c r="F182" s="435"/>
    </row>
    <row r="183" spans="1:7" ht="102" customHeight="1" x14ac:dyDescent="0.2">
      <c r="A183" s="343">
        <v>12</v>
      </c>
      <c r="B183" s="343">
        <v>801</v>
      </c>
      <c r="C183" s="343">
        <v>80152</v>
      </c>
      <c r="D183" s="348" t="s">
        <v>447</v>
      </c>
      <c r="E183" s="484" t="s">
        <v>484</v>
      </c>
      <c r="F183" s="346">
        <f>221339+382609+100000+100000+40000</f>
        <v>843948</v>
      </c>
    </row>
    <row r="184" spans="1:7" ht="15" customHeight="1" x14ac:dyDescent="0.2">
      <c r="A184" s="454"/>
      <c r="B184" s="455"/>
      <c r="C184" s="456"/>
      <c r="D184" s="372"/>
      <c r="E184" s="504" t="s">
        <v>485</v>
      </c>
      <c r="F184" s="458"/>
    </row>
    <row r="185" spans="1:7" ht="24.75" customHeight="1" x14ac:dyDescent="0.2">
      <c r="A185" s="459"/>
      <c r="B185" s="460"/>
      <c r="C185" s="461"/>
      <c r="D185" s="374"/>
      <c r="E185" s="490" t="s">
        <v>468</v>
      </c>
      <c r="F185" s="471"/>
    </row>
    <row r="186" spans="1:7" ht="15" customHeight="1" x14ac:dyDescent="0.2">
      <c r="A186" s="459"/>
      <c r="B186" s="460"/>
      <c r="C186" s="461"/>
      <c r="D186" s="374"/>
      <c r="E186" s="476" t="s">
        <v>404</v>
      </c>
      <c r="F186" s="463"/>
    </row>
    <row r="187" spans="1:7" ht="22.9" customHeight="1" x14ac:dyDescent="0.2">
      <c r="A187" s="459"/>
      <c r="B187" s="460"/>
      <c r="C187" s="461"/>
      <c r="D187" s="374"/>
      <c r="E187" s="505" t="s">
        <v>457</v>
      </c>
      <c r="F187" s="463"/>
    </row>
    <row r="188" spans="1:7" ht="24.75" customHeight="1" x14ac:dyDescent="0.2">
      <c r="A188" s="459"/>
      <c r="B188" s="460"/>
      <c r="C188" s="461"/>
      <c r="D188" s="374"/>
      <c r="E188" s="480" t="s">
        <v>476</v>
      </c>
      <c r="F188" s="463"/>
    </row>
    <row r="189" spans="1:7" ht="24" customHeight="1" x14ac:dyDescent="0.2">
      <c r="A189" s="465"/>
      <c r="B189" s="466"/>
      <c r="C189" s="467"/>
      <c r="D189" s="369"/>
      <c r="E189" s="473" t="s">
        <v>394</v>
      </c>
      <c r="F189" s="435"/>
    </row>
    <row r="190" spans="1:7" ht="15.75" customHeight="1" x14ac:dyDescent="0.2">
      <c r="A190" s="506">
        <v>13</v>
      </c>
      <c r="B190" s="506">
        <v>853</v>
      </c>
      <c r="C190" s="506">
        <v>85311</v>
      </c>
      <c r="D190" s="444">
        <v>2580</v>
      </c>
      <c r="E190" s="466" t="s">
        <v>486</v>
      </c>
      <c r="F190" s="435">
        <f>230801+15000</f>
        <v>245801</v>
      </c>
    </row>
    <row r="191" spans="1:7" ht="18" customHeight="1" x14ac:dyDescent="0.2">
      <c r="A191" s="448"/>
      <c r="B191" s="474"/>
      <c r="C191" s="467"/>
      <c r="D191" s="369"/>
      <c r="E191" s="466" t="s">
        <v>487</v>
      </c>
      <c r="F191" s="435"/>
    </row>
    <row r="192" spans="1:7" ht="15.75" customHeight="1" x14ac:dyDescent="0.2">
      <c r="A192" s="443">
        <v>14</v>
      </c>
      <c r="B192" s="443">
        <v>854</v>
      </c>
      <c r="C192" s="507">
        <v>85402</v>
      </c>
      <c r="D192" s="444">
        <v>2540</v>
      </c>
      <c r="E192" s="508" t="s">
        <v>426</v>
      </c>
      <c r="F192" s="341">
        <f>984049</f>
        <v>984049</v>
      </c>
    </row>
    <row r="193" spans="1:6" ht="22.5" customHeight="1" x14ac:dyDescent="0.2">
      <c r="A193" s="448"/>
      <c r="B193" s="474"/>
      <c r="C193" s="487"/>
      <c r="D193" s="344"/>
      <c r="E193" s="484" t="s">
        <v>488</v>
      </c>
      <c r="F193" s="341"/>
    </row>
    <row r="194" spans="1:6" ht="15.75" customHeight="1" x14ac:dyDescent="0.2">
      <c r="A194" s="443">
        <v>15</v>
      </c>
      <c r="B194" s="443">
        <v>854</v>
      </c>
      <c r="C194" s="443">
        <v>85404</v>
      </c>
      <c r="D194" s="339">
        <v>2540</v>
      </c>
      <c r="E194" s="474" t="s">
        <v>241</v>
      </c>
      <c r="F194" s="341">
        <f>534790+50000</f>
        <v>584790</v>
      </c>
    </row>
    <row r="195" spans="1:6" ht="15" customHeight="1" x14ac:dyDescent="0.2">
      <c r="A195" s="459"/>
      <c r="B195" s="460"/>
      <c r="C195" s="461"/>
      <c r="D195" s="374"/>
      <c r="E195" s="472" t="s">
        <v>454</v>
      </c>
      <c r="F195" s="471"/>
    </row>
    <row r="196" spans="1:6" ht="13.5" customHeight="1" x14ac:dyDescent="0.2">
      <c r="A196" s="459"/>
      <c r="B196" s="460"/>
      <c r="C196" s="461"/>
      <c r="D196" s="374"/>
      <c r="E196" s="509" t="s">
        <v>365</v>
      </c>
      <c r="F196" s="463"/>
    </row>
    <row r="197" spans="1:6" ht="24.75" customHeight="1" x14ac:dyDescent="0.2">
      <c r="A197" s="459"/>
      <c r="B197" s="460"/>
      <c r="C197" s="461"/>
      <c r="D197" s="478"/>
      <c r="E197" s="479" t="s">
        <v>478</v>
      </c>
      <c r="F197" s="463"/>
    </row>
    <row r="198" spans="1:6" ht="13.5" customHeight="1" x14ac:dyDescent="0.2">
      <c r="A198" s="459"/>
      <c r="B198" s="460"/>
      <c r="C198" s="461"/>
      <c r="D198" s="374"/>
      <c r="E198" s="480" t="s">
        <v>479</v>
      </c>
      <c r="F198" s="463"/>
    </row>
    <row r="199" spans="1:6" ht="13.5" customHeight="1" x14ac:dyDescent="0.2">
      <c r="A199" s="459"/>
      <c r="B199" s="460"/>
      <c r="C199" s="461"/>
      <c r="D199" s="374"/>
      <c r="E199" s="476" t="s">
        <v>368</v>
      </c>
      <c r="F199" s="463"/>
    </row>
    <row r="200" spans="1:6" ht="13.5" customHeight="1" x14ac:dyDescent="0.2">
      <c r="A200" s="459"/>
      <c r="B200" s="460"/>
      <c r="C200" s="461"/>
      <c r="D200" s="374"/>
      <c r="E200" s="480" t="s">
        <v>407</v>
      </c>
      <c r="F200" s="463"/>
    </row>
    <row r="201" spans="1:6" ht="13.5" customHeight="1" x14ac:dyDescent="0.2">
      <c r="A201" s="459"/>
      <c r="B201" s="460"/>
      <c r="C201" s="461"/>
      <c r="D201" s="374"/>
      <c r="E201" s="480" t="s">
        <v>452</v>
      </c>
      <c r="F201" s="463"/>
    </row>
    <row r="202" spans="1:6" ht="13.5" customHeight="1" x14ac:dyDescent="0.2">
      <c r="A202" s="459"/>
      <c r="B202" s="460"/>
      <c r="C202" s="461"/>
      <c r="D202" s="374"/>
      <c r="E202" s="498" t="s">
        <v>366</v>
      </c>
      <c r="F202" s="471"/>
    </row>
    <row r="203" spans="1:6" ht="14.25" customHeight="1" x14ac:dyDescent="0.2">
      <c r="A203" s="459"/>
      <c r="B203" s="460"/>
      <c r="C203" s="461"/>
      <c r="D203" s="374"/>
      <c r="E203" s="480" t="s">
        <v>406</v>
      </c>
      <c r="F203" s="463"/>
    </row>
    <row r="204" spans="1:6" ht="14.25" customHeight="1" x14ac:dyDescent="0.2">
      <c r="A204" s="465"/>
      <c r="B204" s="466"/>
      <c r="C204" s="467"/>
      <c r="D204" s="374"/>
      <c r="E204" s="498" t="s">
        <v>364</v>
      </c>
      <c r="F204" s="435"/>
    </row>
    <row r="205" spans="1:6" ht="25.5" customHeight="1" x14ac:dyDescent="0.2">
      <c r="A205" s="431">
        <v>16</v>
      </c>
      <c r="B205" s="431">
        <v>854</v>
      </c>
      <c r="C205" s="431">
        <v>85406</v>
      </c>
      <c r="D205" s="344">
        <v>2540</v>
      </c>
      <c r="E205" s="510" t="s">
        <v>428</v>
      </c>
      <c r="F205" s="341">
        <f>60974+10000</f>
        <v>70974</v>
      </c>
    </row>
    <row r="206" spans="1:6" ht="15.75" customHeight="1" x14ac:dyDescent="0.2">
      <c r="A206" s="454"/>
      <c r="B206" s="455"/>
      <c r="C206" s="456"/>
      <c r="D206" s="372"/>
      <c r="E206" s="511" t="s">
        <v>429</v>
      </c>
      <c r="F206" s="458"/>
    </row>
    <row r="207" spans="1:6" ht="37.5" customHeight="1" x14ac:dyDescent="0.2">
      <c r="A207" s="465"/>
      <c r="B207" s="466"/>
      <c r="C207" s="467"/>
      <c r="D207" s="369"/>
      <c r="E207" s="512" t="s">
        <v>489</v>
      </c>
      <c r="F207" s="435"/>
    </row>
    <row r="208" spans="1:6" ht="16.5" customHeight="1" x14ac:dyDescent="0.2">
      <c r="A208" s="443">
        <v>17</v>
      </c>
      <c r="B208" s="443">
        <v>854</v>
      </c>
      <c r="C208" s="443">
        <v>85410</v>
      </c>
      <c r="D208" s="339">
        <v>2590</v>
      </c>
      <c r="E208" s="474" t="s">
        <v>86</v>
      </c>
      <c r="F208" s="341">
        <f>911326+200000-10000</f>
        <v>1101326</v>
      </c>
    </row>
    <row r="209" spans="1:6" ht="13.5" customHeight="1" x14ac:dyDescent="0.2">
      <c r="A209" s="448"/>
      <c r="B209" s="474"/>
      <c r="C209" s="487"/>
      <c r="D209" s="369"/>
      <c r="E209" s="466" t="s">
        <v>490</v>
      </c>
      <c r="F209" s="341"/>
    </row>
    <row r="210" spans="1:6" ht="14.25" customHeight="1" x14ac:dyDescent="0.2">
      <c r="A210" s="601"/>
      <c r="B210" s="602"/>
      <c r="C210" s="602"/>
      <c r="D210" s="334"/>
      <c r="E210" s="602" t="s">
        <v>444</v>
      </c>
      <c r="F210" s="603">
        <f>SUM(F106:F209)</f>
        <v>41623778.68</v>
      </c>
    </row>
    <row r="211" spans="1:6" ht="15.75" customHeight="1" x14ac:dyDescent="0.2">
      <c r="A211" s="513"/>
      <c r="B211" s="514"/>
      <c r="C211" s="514"/>
      <c r="D211" s="334"/>
      <c r="E211" s="514" t="s">
        <v>342</v>
      </c>
      <c r="F211" s="515">
        <f>F210+F103</f>
        <v>65353360.609999999</v>
      </c>
    </row>
    <row r="213" spans="1:6" ht="12.6" customHeight="1" x14ac:dyDescent="0.2">
      <c r="A213" s="604"/>
      <c r="F213" s="516"/>
    </row>
    <row r="215" spans="1:6" x14ac:dyDescent="0.2">
      <c r="F215" s="516"/>
    </row>
  </sheetData>
  <pageMargins left="0.43307086614173229" right="0.43307086614173229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02917-DE31-4C35-9626-D083FEDB01AA}">
  <sheetPr>
    <tabColor rgb="FFFF7C80"/>
  </sheetPr>
  <dimension ref="A1:G37"/>
  <sheetViews>
    <sheetView zoomScale="110" zoomScaleNormal="11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543</v>
      </c>
    </row>
    <row r="2" spans="1:7" x14ac:dyDescent="0.25">
      <c r="F2" s="3" t="s">
        <v>286</v>
      </c>
    </row>
    <row r="3" spans="1:7" x14ac:dyDescent="0.25">
      <c r="F3" s="3" t="s">
        <v>0</v>
      </c>
    </row>
    <row r="4" spans="1:7" x14ac:dyDescent="0.25">
      <c r="F4" s="3" t="s">
        <v>287</v>
      </c>
    </row>
    <row r="6" spans="1:7" s="75" customFormat="1" ht="12.75" x14ac:dyDescent="0.2">
      <c r="A6" s="74" t="s">
        <v>55</v>
      </c>
      <c r="B6" s="74"/>
      <c r="C6" s="74"/>
      <c r="D6" s="74"/>
      <c r="E6" s="74"/>
      <c r="F6" s="74"/>
      <c r="G6" s="74"/>
    </row>
    <row r="7" spans="1:7" s="75" customFormat="1" ht="12.75" x14ac:dyDescent="0.2">
      <c r="A7" s="74" t="s">
        <v>56</v>
      </c>
      <c r="B7" s="74"/>
      <c r="C7" s="74"/>
      <c r="D7" s="74"/>
      <c r="E7" s="74"/>
      <c r="F7" s="74"/>
      <c r="G7" s="74"/>
    </row>
    <row r="8" spans="1:7" x14ac:dyDescent="0.25">
      <c r="A8" s="76" t="s">
        <v>57</v>
      </c>
      <c r="B8" s="76"/>
      <c r="C8" s="76"/>
      <c r="D8" s="76"/>
      <c r="E8" s="76"/>
      <c r="F8" s="76"/>
      <c r="G8" s="76"/>
    </row>
    <row r="9" spans="1:7" x14ac:dyDescent="0.25">
      <c r="A9" s="605"/>
      <c r="B9" s="605"/>
      <c r="C9" s="605"/>
      <c r="D9" s="605"/>
      <c r="E9" s="605"/>
      <c r="F9" s="605"/>
      <c r="G9" s="77" t="s">
        <v>2</v>
      </c>
    </row>
    <row r="10" spans="1:7" ht="15" customHeight="1" x14ac:dyDescent="0.25">
      <c r="A10" s="78"/>
      <c r="B10" s="79"/>
      <c r="C10" s="79"/>
      <c r="D10" s="80" t="s">
        <v>58</v>
      </c>
      <c r="E10" s="81"/>
      <c r="F10" s="82"/>
      <c r="G10" s="80" t="s">
        <v>59</v>
      </c>
    </row>
    <row r="11" spans="1:7" x14ac:dyDescent="0.25">
      <c r="A11" s="83" t="s">
        <v>60</v>
      </c>
      <c r="B11" s="84" t="s">
        <v>4</v>
      </c>
      <c r="C11" s="84" t="s">
        <v>61</v>
      </c>
      <c r="D11" s="85" t="s">
        <v>62</v>
      </c>
      <c r="E11" s="85"/>
      <c r="F11" s="85"/>
      <c r="G11" s="85" t="s">
        <v>62</v>
      </c>
    </row>
    <row r="12" spans="1:7" x14ac:dyDescent="0.25">
      <c r="A12" s="83"/>
      <c r="B12" s="86"/>
      <c r="C12" s="84"/>
      <c r="D12" s="85" t="s">
        <v>63</v>
      </c>
      <c r="E12" s="85" t="s">
        <v>64</v>
      </c>
      <c r="F12" s="85" t="s">
        <v>65</v>
      </c>
      <c r="G12" s="85" t="s">
        <v>66</v>
      </c>
    </row>
    <row r="13" spans="1:7" x14ac:dyDescent="0.25">
      <c r="A13" s="87"/>
      <c r="B13" s="86" t="s">
        <v>5</v>
      </c>
      <c r="C13" s="86"/>
      <c r="D13" s="88"/>
      <c r="E13" s="88"/>
      <c r="F13" s="88"/>
      <c r="G13" s="88"/>
    </row>
    <row r="14" spans="1:7" s="90" customFormat="1" ht="9.75" x14ac:dyDescent="0.15">
      <c r="A14" s="89">
        <v>1</v>
      </c>
      <c r="B14" s="89">
        <v>2</v>
      </c>
      <c r="C14" s="89">
        <v>3</v>
      </c>
      <c r="D14" s="89">
        <v>4</v>
      </c>
      <c r="E14" s="89">
        <v>5</v>
      </c>
      <c r="F14" s="89">
        <v>6</v>
      </c>
      <c r="G14" s="89">
        <v>7</v>
      </c>
    </row>
    <row r="15" spans="1:7" s="605" customFormat="1" x14ac:dyDescent="0.25">
      <c r="A15" s="91"/>
      <c r="B15" s="92">
        <v>801</v>
      </c>
      <c r="C15" s="606"/>
      <c r="D15" s="93"/>
      <c r="E15" s="93"/>
      <c r="F15" s="93"/>
      <c r="G15" s="93"/>
    </row>
    <row r="16" spans="1:7" ht="13.5" customHeight="1" x14ac:dyDescent="0.25">
      <c r="A16" s="94" t="s">
        <v>67</v>
      </c>
      <c r="B16" s="95">
        <v>80101</v>
      </c>
      <c r="C16" s="96" t="s">
        <v>18</v>
      </c>
      <c r="D16" s="97">
        <v>6324.7</v>
      </c>
      <c r="E16" s="97">
        <v>915652.34</v>
      </c>
      <c r="F16" s="97">
        <v>921977.04</v>
      </c>
      <c r="G16" s="97">
        <v>0</v>
      </c>
    </row>
    <row r="17" spans="1:7" ht="13.5" customHeight="1" x14ac:dyDescent="0.25">
      <c r="A17" s="94" t="s">
        <v>68</v>
      </c>
      <c r="B17" s="95">
        <v>80102</v>
      </c>
      <c r="C17" s="98" t="s">
        <v>69</v>
      </c>
      <c r="D17" s="99">
        <v>0</v>
      </c>
      <c r="E17" s="99">
        <v>24543</v>
      </c>
      <c r="F17" s="99">
        <v>24543</v>
      </c>
      <c r="G17" s="99">
        <v>0</v>
      </c>
    </row>
    <row r="18" spans="1:7" ht="13.5" customHeight="1" x14ac:dyDescent="0.25">
      <c r="A18" s="94" t="s">
        <v>70</v>
      </c>
      <c r="B18" s="95">
        <v>80104</v>
      </c>
      <c r="C18" s="98" t="s">
        <v>46</v>
      </c>
      <c r="D18" s="99">
        <v>5972.12</v>
      </c>
      <c r="E18" s="99">
        <v>5091874.87</v>
      </c>
      <c r="F18" s="99">
        <v>5097846.99</v>
      </c>
      <c r="G18" s="99">
        <v>0</v>
      </c>
    </row>
    <row r="19" spans="1:7" ht="13.5" customHeight="1" x14ac:dyDescent="0.25">
      <c r="A19" s="94" t="s">
        <v>71</v>
      </c>
      <c r="B19" s="95">
        <v>80115</v>
      </c>
      <c r="C19" s="98" t="s">
        <v>72</v>
      </c>
      <c r="D19" s="99">
        <v>8.06</v>
      </c>
      <c r="E19" s="99">
        <v>1202129.7</v>
      </c>
      <c r="F19" s="99">
        <v>1202137.76</v>
      </c>
      <c r="G19" s="99">
        <v>0</v>
      </c>
    </row>
    <row r="20" spans="1:7" ht="13.5" customHeight="1" x14ac:dyDescent="0.25">
      <c r="A20" s="94" t="s">
        <v>73</v>
      </c>
      <c r="B20" s="95">
        <v>80120</v>
      </c>
      <c r="C20" s="98" t="s">
        <v>74</v>
      </c>
      <c r="D20" s="100">
        <v>342.39</v>
      </c>
      <c r="E20" s="99">
        <v>290790</v>
      </c>
      <c r="F20" s="99">
        <v>291132.39</v>
      </c>
      <c r="G20" s="99">
        <v>0</v>
      </c>
    </row>
    <row r="21" spans="1:7" ht="13.5" customHeight="1" x14ac:dyDescent="0.25">
      <c r="A21" s="94" t="s">
        <v>75</v>
      </c>
      <c r="B21" s="95">
        <v>80132</v>
      </c>
      <c r="C21" s="98" t="s">
        <v>76</v>
      </c>
      <c r="D21" s="99">
        <v>0</v>
      </c>
      <c r="E21" s="99">
        <v>37900</v>
      </c>
      <c r="F21" s="99">
        <v>37900</v>
      </c>
      <c r="G21" s="101">
        <v>0</v>
      </c>
    </row>
    <row r="22" spans="1:7" ht="13.5" customHeight="1" x14ac:dyDescent="0.25">
      <c r="A22" s="94" t="s">
        <v>77</v>
      </c>
      <c r="B22" s="95">
        <v>80134</v>
      </c>
      <c r="C22" s="98" t="s">
        <v>78</v>
      </c>
      <c r="D22" s="99">
        <v>0</v>
      </c>
      <c r="E22" s="99">
        <v>1300</v>
      </c>
      <c r="F22" s="99">
        <v>1300</v>
      </c>
      <c r="G22" s="99">
        <v>0</v>
      </c>
    </row>
    <row r="23" spans="1:7" ht="25.5" customHeight="1" x14ac:dyDescent="0.25">
      <c r="A23" s="102" t="s">
        <v>79</v>
      </c>
      <c r="B23" s="103">
        <v>80140</v>
      </c>
      <c r="C23" s="104" t="s">
        <v>80</v>
      </c>
      <c r="D23" s="105">
        <v>67.19</v>
      </c>
      <c r="E23" s="105">
        <v>159270</v>
      </c>
      <c r="F23" s="105">
        <v>159337.19</v>
      </c>
      <c r="G23" s="105">
        <v>0</v>
      </c>
    </row>
    <row r="24" spans="1:7" ht="13.5" customHeight="1" x14ac:dyDescent="0.25">
      <c r="A24" s="102" t="s">
        <v>81</v>
      </c>
      <c r="B24" s="103">
        <v>80142</v>
      </c>
      <c r="C24" s="104" t="s">
        <v>82</v>
      </c>
      <c r="D24" s="99">
        <v>109.5</v>
      </c>
      <c r="E24" s="99">
        <v>369147</v>
      </c>
      <c r="F24" s="99">
        <v>369256.5</v>
      </c>
      <c r="G24" s="99">
        <v>0</v>
      </c>
    </row>
    <row r="25" spans="1:7" ht="13.5" customHeight="1" x14ac:dyDescent="0.25">
      <c r="A25" s="102" t="s">
        <v>83</v>
      </c>
      <c r="B25" s="103">
        <v>80144</v>
      </c>
      <c r="C25" s="104" t="s">
        <v>84</v>
      </c>
      <c r="D25" s="99">
        <v>319.77</v>
      </c>
      <c r="E25" s="99">
        <v>74800</v>
      </c>
      <c r="F25" s="99">
        <v>75119.77</v>
      </c>
      <c r="G25" s="99">
        <v>0</v>
      </c>
    </row>
    <row r="26" spans="1:7" ht="13.5" customHeight="1" x14ac:dyDescent="0.25">
      <c r="A26" s="102" t="s">
        <v>85</v>
      </c>
      <c r="B26" s="103">
        <v>80148</v>
      </c>
      <c r="C26" s="98" t="s">
        <v>50</v>
      </c>
      <c r="D26" s="100">
        <v>1146.97</v>
      </c>
      <c r="E26" s="100">
        <v>3217515</v>
      </c>
      <c r="F26" s="100">
        <v>3218661.97</v>
      </c>
      <c r="G26" s="100">
        <v>0</v>
      </c>
    </row>
    <row r="27" spans="1:7" ht="13.5" customHeight="1" x14ac:dyDescent="0.25">
      <c r="A27" s="106"/>
      <c r="B27" s="107">
        <v>854</v>
      </c>
      <c r="C27" s="108"/>
      <c r="D27" s="109"/>
      <c r="E27" s="109"/>
      <c r="F27" s="109"/>
      <c r="G27" s="109"/>
    </row>
    <row r="28" spans="1:7" ht="13.5" customHeight="1" x14ac:dyDescent="0.25">
      <c r="A28" s="94" t="s">
        <v>67</v>
      </c>
      <c r="B28" s="95">
        <v>85410</v>
      </c>
      <c r="C28" s="98" t="s">
        <v>86</v>
      </c>
      <c r="D28" s="99">
        <v>763.66</v>
      </c>
      <c r="E28" s="99">
        <v>491700</v>
      </c>
      <c r="F28" s="99">
        <v>492463.66</v>
      </c>
      <c r="G28" s="99">
        <v>0</v>
      </c>
    </row>
    <row r="29" spans="1:7" ht="13.5" customHeight="1" x14ac:dyDescent="0.25">
      <c r="A29" s="94" t="s">
        <v>68</v>
      </c>
      <c r="B29" s="95">
        <v>85412</v>
      </c>
      <c r="C29" s="98" t="s">
        <v>87</v>
      </c>
      <c r="D29" s="99"/>
      <c r="E29" s="99"/>
      <c r="F29" s="99"/>
      <c r="G29" s="99"/>
    </row>
    <row r="30" spans="1:7" ht="13.5" customHeight="1" x14ac:dyDescent="0.25">
      <c r="A30" s="94"/>
      <c r="B30" s="95"/>
      <c r="C30" s="98" t="s">
        <v>88</v>
      </c>
      <c r="D30" s="99">
        <v>0</v>
      </c>
      <c r="E30" s="99">
        <v>15100</v>
      </c>
      <c r="F30" s="99">
        <v>15100</v>
      </c>
      <c r="G30" s="99">
        <v>0</v>
      </c>
    </row>
    <row r="31" spans="1:7" ht="13.5" customHeight="1" x14ac:dyDescent="0.25">
      <c r="A31" s="94" t="s">
        <v>70</v>
      </c>
      <c r="B31" s="95">
        <v>85417</v>
      </c>
      <c r="C31" s="110" t="s">
        <v>89</v>
      </c>
      <c r="D31" s="99">
        <v>0</v>
      </c>
      <c r="E31" s="99">
        <v>80400</v>
      </c>
      <c r="F31" s="99">
        <v>80400</v>
      </c>
      <c r="G31" s="99">
        <v>0</v>
      </c>
    </row>
    <row r="32" spans="1:7" ht="13.5" customHeight="1" x14ac:dyDescent="0.25">
      <c r="A32" s="111" t="s">
        <v>71</v>
      </c>
      <c r="B32" s="112">
        <v>85420</v>
      </c>
      <c r="C32" s="113" t="s">
        <v>90</v>
      </c>
      <c r="D32" s="114">
        <v>73.81</v>
      </c>
      <c r="E32" s="114">
        <v>22500</v>
      </c>
      <c r="F32" s="114">
        <v>22573.81</v>
      </c>
      <c r="G32" s="115">
        <v>0</v>
      </c>
    </row>
    <row r="33" spans="1:7" s="609" customFormat="1" ht="22.5" customHeight="1" x14ac:dyDescent="0.25">
      <c r="A33" s="116"/>
      <c r="B33" s="117"/>
      <c r="C33" s="607" t="s">
        <v>91</v>
      </c>
      <c r="D33" s="608">
        <f>SUM(D16:D32)</f>
        <v>15128.169999999998</v>
      </c>
      <c r="E33" s="608">
        <f>SUM(E16:E32)</f>
        <v>11994621.91</v>
      </c>
      <c r="F33" s="608">
        <f>SUM(F16:F32)</f>
        <v>12009750.08</v>
      </c>
      <c r="G33" s="608">
        <f>SUM(G16:G32)</f>
        <v>0</v>
      </c>
    </row>
    <row r="35" spans="1:7" x14ac:dyDescent="0.25">
      <c r="A35" s="610"/>
      <c r="B35" s="610"/>
      <c r="C35" s="118"/>
    </row>
    <row r="36" spans="1:7" x14ac:dyDescent="0.25">
      <c r="A36" s="610"/>
      <c r="B36" s="610"/>
      <c r="C36" s="118"/>
    </row>
    <row r="37" spans="1:7" x14ac:dyDescent="0.25">
      <c r="A37" s="610"/>
      <c r="B37" s="610"/>
      <c r="C37" s="118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9CECC-9723-48A7-A8F1-7F612FC4C5E4}">
  <sheetPr>
    <tabColor rgb="FF00FF00"/>
  </sheetPr>
  <dimension ref="A1:WVO209"/>
  <sheetViews>
    <sheetView zoomScale="140" zoomScaleNormal="140" workbookViewId="0">
      <selection activeCell="I67" sqref="I67"/>
    </sheetView>
  </sheetViews>
  <sheetFormatPr defaultRowHeight="15" x14ac:dyDescent="0.25"/>
  <cols>
    <col min="1" max="1" width="4.85546875" style="605" customWidth="1"/>
    <col min="2" max="2" width="33.42578125" style="605" customWidth="1"/>
    <col min="3" max="3" width="8.5703125" style="605" customWidth="1"/>
    <col min="4" max="4" width="9.42578125" style="605" customWidth="1"/>
    <col min="5" max="5" width="8.140625" style="605" customWidth="1"/>
    <col min="6" max="6" width="13" customWidth="1"/>
    <col min="7" max="7" width="12.85546875" customWidth="1"/>
    <col min="9" max="9" width="12.42578125" customWidth="1"/>
    <col min="77" max="253" width="9.140625" style="605"/>
    <col min="254" max="254" width="5.28515625" style="605" customWidth="1"/>
    <col min="255" max="255" width="8" style="605" customWidth="1"/>
    <col min="256" max="256" width="5.85546875" style="605" customWidth="1"/>
    <col min="257" max="257" width="9.42578125" style="605" customWidth="1"/>
    <col min="258" max="258" width="11.28515625" style="605" customWidth="1"/>
    <col min="259" max="259" width="11" style="605" customWidth="1"/>
    <col min="260" max="260" width="13.140625" style="605" customWidth="1"/>
    <col min="261" max="261" width="11.7109375" style="605" customWidth="1"/>
    <col min="262" max="262" width="11.140625" style="605" customWidth="1"/>
    <col min="263" max="263" width="11.7109375" style="605" customWidth="1"/>
    <col min="264" max="509" width="9.140625" style="605"/>
    <col min="510" max="510" width="5.28515625" style="605" customWidth="1"/>
    <col min="511" max="511" width="8" style="605" customWidth="1"/>
    <col min="512" max="512" width="5.85546875" style="605" customWidth="1"/>
    <col min="513" max="513" width="9.42578125" style="605" customWidth="1"/>
    <col min="514" max="514" width="11.28515625" style="605" customWidth="1"/>
    <col min="515" max="515" width="11" style="605" customWidth="1"/>
    <col min="516" max="516" width="13.140625" style="605" customWidth="1"/>
    <col min="517" max="517" width="11.7109375" style="605" customWidth="1"/>
    <col min="518" max="518" width="11.140625" style="605" customWidth="1"/>
    <col min="519" max="519" width="11.7109375" style="605" customWidth="1"/>
    <col min="520" max="765" width="9.140625" style="605"/>
    <col min="766" max="766" width="5.28515625" style="605" customWidth="1"/>
    <col min="767" max="767" width="8" style="605" customWidth="1"/>
    <col min="768" max="768" width="5.85546875" style="605" customWidth="1"/>
    <col min="769" max="769" width="9.42578125" style="605" customWidth="1"/>
    <col min="770" max="770" width="11.28515625" style="605" customWidth="1"/>
    <col min="771" max="771" width="11" style="605" customWidth="1"/>
    <col min="772" max="772" width="13.140625" style="605" customWidth="1"/>
    <col min="773" max="773" width="11.7109375" style="605" customWidth="1"/>
    <col min="774" max="774" width="11.140625" style="605" customWidth="1"/>
    <col min="775" max="775" width="11.7109375" style="605" customWidth="1"/>
    <col min="776" max="1021" width="9.140625" style="605"/>
    <col min="1022" max="1022" width="5.28515625" style="605" customWidth="1"/>
    <col min="1023" max="1023" width="8" style="605" customWidth="1"/>
    <col min="1024" max="1024" width="5.85546875" style="605" customWidth="1"/>
    <col min="1025" max="1025" width="9.42578125" style="605" customWidth="1"/>
    <col min="1026" max="1026" width="11.28515625" style="605" customWidth="1"/>
    <col min="1027" max="1027" width="11" style="605" customWidth="1"/>
    <col min="1028" max="1028" width="13.140625" style="605" customWidth="1"/>
    <col min="1029" max="1029" width="11.7109375" style="605" customWidth="1"/>
    <col min="1030" max="1030" width="11.140625" style="605" customWidth="1"/>
    <col min="1031" max="1031" width="11.7109375" style="605" customWidth="1"/>
    <col min="1032" max="1277" width="9.140625" style="605"/>
    <col min="1278" max="1278" width="5.28515625" style="605" customWidth="1"/>
    <col min="1279" max="1279" width="8" style="605" customWidth="1"/>
    <col min="1280" max="1280" width="5.85546875" style="605" customWidth="1"/>
    <col min="1281" max="1281" width="9.42578125" style="605" customWidth="1"/>
    <col min="1282" max="1282" width="11.28515625" style="605" customWidth="1"/>
    <col min="1283" max="1283" width="11" style="605" customWidth="1"/>
    <col min="1284" max="1284" width="13.140625" style="605" customWidth="1"/>
    <col min="1285" max="1285" width="11.7109375" style="605" customWidth="1"/>
    <col min="1286" max="1286" width="11.140625" style="605" customWidth="1"/>
    <col min="1287" max="1287" width="11.7109375" style="605" customWidth="1"/>
    <col min="1288" max="1533" width="9.140625" style="605"/>
    <col min="1534" max="1534" width="5.28515625" style="605" customWidth="1"/>
    <col min="1535" max="1535" width="8" style="605" customWidth="1"/>
    <col min="1536" max="1536" width="5.85546875" style="605" customWidth="1"/>
    <col min="1537" max="1537" width="9.42578125" style="605" customWidth="1"/>
    <col min="1538" max="1538" width="11.28515625" style="605" customWidth="1"/>
    <col min="1539" max="1539" width="11" style="605" customWidth="1"/>
    <col min="1540" max="1540" width="13.140625" style="605" customWidth="1"/>
    <col min="1541" max="1541" width="11.7109375" style="605" customWidth="1"/>
    <col min="1542" max="1542" width="11.140625" style="605" customWidth="1"/>
    <col min="1543" max="1543" width="11.7109375" style="605" customWidth="1"/>
    <col min="1544" max="1789" width="9.140625" style="605"/>
    <col min="1790" max="1790" width="5.28515625" style="605" customWidth="1"/>
    <col min="1791" max="1791" width="8" style="605" customWidth="1"/>
    <col min="1792" max="1792" width="5.85546875" style="605" customWidth="1"/>
    <col min="1793" max="1793" width="9.42578125" style="605" customWidth="1"/>
    <col min="1794" max="1794" width="11.28515625" style="605" customWidth="1"/>
    <col min="1795" max="1795" width="11" style="605" customWidth="1"/>
    <col min="1796" max="1796" width="13.140625" style="605" customWidth="1"/>
    <col min="1797" max="1797" width="11.7109375" style="605" customWidth="1"/>
    <col min="1798" max="1798" width="11.140625" style="605" customWidth="1"/>
    <col min="1799" max="1799" width="11.7109375" style="605" customWidth="1"/>
    <col min="1800" max="2045" width="9.140625" style="605"/>
    <col min="2046" max="2046" width="5.28515625" style="605" customWidth="1"/>
    <col min="2047" max="2047" width="8" style="605" customWidth="1"/>
    <col min="2048" max="2048" width="5.85546875" style="605" customWidth="1"/>
    <col min="2049" max="2049" width="9.42578125" style="605" customWidth="1"/>
    <col min="2050" max="2050" width="11.28515625" style="605" customWidth="1"/>
    <col min="2051" max="2051" width="11" style="605" customWidth="1"/>
    <col min="2052" max="2052" width="13.140625" style="605" customWidth="1"/>
    <col min="2053" max="2053" width="11.7109375" style="605" customWidth="1"/>
    <col min="2054" max="2054" width="11.140625" style="605" customWidth="1"/>
    <col min="2055" max="2055" width="11.7109375" style="605" customWidth="1"/>
    <col min="2056" max="2301" width="9.140625" style="605"/>
    <col min="2302" max="2302" width="5.28515625" style="605" customWidth="1"/>
    <col min="2303" max="2303" width="8" style="605" customWidth="1"/>
    <col min="2304" max="2304" width="5.85546875" style="605" customWidth="1"/>
    <col min="2305" max="2305" width="9.42578125" style="605" customWidth="1"/>
    <col min="2306" max="2306" width="11.28515625" style="605" customWidth="1"/>
    <col min="2307" max="2307" width="11" style="605" customWidth="1"/>
    <col min="2308" max="2308" width="13.140625" style="605" customWidth="1"/>
    <col min="2309" max="2309" width="11.7109375" style="605" customWidth="1"/>
    <col min="2310" max="2310" width="11.140625" style="605" customWidth="1"/>
    <col min="2311" max="2311" width="11.7109375" style="605" customWidth="1"/>
    <col min="2312" max="2557" width="9.140625" style="605"/>
    <col min="2558" max="2558" width="5.28515625" style="605" customWidth="1"/>
    <col min="2559" max="2559" width="8" style="605" customWidth="1"/>
    <col min="2560" max="2560" width="5.85546875" style="605" customWidth="1"/>
    <col min="2561" max="2561" width="9.42578125" style="605" customWidth="1"/>
    <col min="2562" max="2562" width="11.28515625" style="605" customWidth="1"/>
    <col min="2563" max="2563" width="11" style="605" customWidth="1"/>
    <col min="2564" max="2564" width="13.140625" style="605" customWidth="1"/>
    <col min="2565" max="2565" width="11.7109375" style="605" customWidth="1"/>
    <col min="2566" max="2566" width="11.140625" style="605" customWidth="1"/>
    <col min="2567" max="2567" width="11.7109375" style="605" customWidth="1"/>
    <col min="2568" max="2813" width="9.140625" style="605"/>
    <col min="2814" max="2814" width="5.28515625" style="605" customWidth="1"/>
    <col min="2815" max="2815" width="8" style="605" customWidth="1"/>
    <col min="2816" max="2816" width="5.85546875" style="605" customWidth="1"/>
    <col min="2817" max="2817" width="9.42578125" style="605" customWidth="1"/>
    <col min="2818" max="2818" width="11.28515625" style="605" customWidth="1"/>
    <col min="2819" max="2819" width="11" style="605" customWidth="1"/>
    <col min="2820" max="2820" width="13.140625" style="605" customWidth="1"/>
    <col min="2821" max="2821" width="11.7109375" style="605" customWidth="1"/>
    <col min="2822" max="2822" width="11.140625" style="605" customWidth="1"/>
    <col min="2823" max="2823" width="11.7109375" style="605" customWidth="1"/>
    <col min="2824" max="3069" width="9.140625" style="605"/>
    <col min="3070" max="3070" width="5.28515625" style="605" customWidth="1"/>
    <col min="3071" max="3071" width="8" style="605" customWidth="1"/>
    <col min="3072" max="3072" width="5.85546875" style="605" customWidth="1"/>
    <col min="3073" max="3073" width="9.42578125" style="605" customWidth="1"/>
    <col min="3074" max="3074" width="11.28515625" style="605" customWidth="1"/>
    <col min="3075" max="3075" width="11" style="605" customWidth="1"/>
    <col min="3076" max="3076" width="13.140625" style="605" customWidth="1"/>
    <col min="3077" max="3077" width="11.7109375" style="605" customWidth="1"/>
    <col min="3078" max="3078" width="11.140625" style="605" customWidth="1"/>
    <col min="3079" max="3079" width="11.7109375" style="605" customWidth="1"/>
    <col min="3080" max="3325" width="9.140625" style="605"/>
    <col min="3326" max="3326" width="5.28515625" style="605" customWidth="1"/>
    <col min="3327" max="3327" width="8" style="605" customWidth="1"/>
    <col min="3328" max="3328" width="5.85546875" style="605" customWidth="1"/>
    <col min="3329" max="3329" width="9.42578125" style="605" customWidth="1"/>
    <col min="3330" max="3330" width="11.28515625" style="605" customWidth="1"/>
    <col min="3331" max="3331" width="11" style="605" customWidth="1"/>
    <col min="3332" max="3332" width="13.140625" style="605" customWidth="1"/>
    <col min="3333" max="3333" width="11.7109375" style="605" customWidth="1"/>
    <col min="3334" max="3334" width="11.140625" style="605" customWidth="1"/>
    <col min="3335" max="3335" width="11.7109375" style="605" customWidth="1"/>
    <col min="3336" max="3581" width="9.140625" style="605"/>
    <col min="3582" max="3582" width="5.28515625" style="605" customWidth="1"/>
    <col min="3583" max="3583" width="8" style="605" customWidth="1"/>
    <col min="3584" max="3584" width="5.85546875" style="605" customWidth="1"/>
    <col min="3585" max="3585" width="9.42578125" style="605" customWidth="1"/>
    <col min="3586" max="3586" width="11.28515625" style="605" customWidth="1"/>
    <col min="3587" max="3587" width="11" style="605" customWidth="1"/>
    <col min="3588" max="3588" width="13.140625" style="605" customWidth="1"/>
    <col min="3589" max="3589" width="11.7109375" style="605" customWidth="1"/>
    <col min="3590" max="3590" width="11.140625" style="605" customWidth="1"/>
    <col min="3591" max="3591" width="11.7109375" style="605" customWidth="1"/>
    <col min="3592" max="3837" width="9.140625" style="605"/>
    <col min="3838" max="3838" width="5.28515625" style="605" customWidth="1"/>
    <col min="3839" max="3839" width="8" style="605" customWidth="1"/>
    <col min="3840" max="3840" width="5.85546875" style="605" customWidth="1"/>
    <col min="3841" max="3841" width="9.42578125" style="605" customWidth="1"/>
    <col min="3842" max="3842" width="11.28515625" style="605" customWidth="1"/>
    <col min="3843" max="3843" width="11" style="605" customWidth="1"/>
    <col min="3844" max="3844" width="13.140625" style="605" customWidth="1"/>
    <col min="3845" max="3845" width="11.7109375" style="605" customWidth="1"/>
    <col min="3846" max="3846" width="11.140625" style="605" customWidth="1"/>
    <col min="3847" max="3847" width="11.7109375" style="605" customWidth="1"/>
    <col min="3848" max="4093" width="9.140625" style="605"/>
    <col min="4094" max="4094" width="5.28515625" style="605" customWidth="1"/>
    <col min="4095" max="4095" width="8" style="605" customWidth="1"/>
    <col min="4096" max="4096" width="5.85546875" style="605" customWidth="1"/>
    <col min="4097" max="4097" width="9.42578125" style="605" customWidth="1"/>
    <col min="4098" max="4098" width="11.28515625" style="605" customWidth="1"/>
    <col min="4099" max="4099" width="11" style="605" customWidth="1"/>
    <col min="4100" max="4100" width="13.140625" style="605" customWidth="1"/>
    <col min="4101" max="4101" width="11.7109375" style="605" customWidth="1"/>
    <col min="4102" max="4102" width="11.140625" style="605" customWidth="1"/>
    <col min="4103" max="4103" width="11.7109375" style="605" customWidth="1"/>
    <col min="4104" max="4349" width="9.140625" style="605"/>
    <col min="4350" max="4350" width="5.28515625" style="605" customWidth="1"/>
    <col min="4351" max="4351" width="8" style="605" customWidth="1"/>
    <col min="4352" max="4352" width="5.85546875" style="605" customWidth="1"/>
    <col min="4353" max="4353" width="9.42578125" style="605" customWidth="1"/>
    <col min="4354" max="4354" width="11.28515625" style="605" customWidth="1"/>
    <col min="4355" max="4355" width="11" style="605" customWidth="1"/>
    <col min="4356" max="4356" width="13.140625" style="605" customWidth="1"/>
    <col min="4357" max="4357" width="11.7109375" style="605" customWidth="1"/>
    <col min="4358" max="4358" width="11.140625" style="605" customWidth="1"/>
    <col min="4359" max="4359" width="11.7109375" style="605" customWidth="1"/>
    <col min="4360" max="4605" width="9.140625" style="605"/>
    <col min="4606" max="4606" width="5.28515625" style="605" customWidth="1"/>
    <col min="4607" max="4607" width="8" style="605" customWidth="1"/>
    <col min="4608" max="4608" width="5.85546875" style="605" customWidth="1"/>
    <col min="4609" max="4609" width="9.42578125" style="605" customWidth="1"/>
    <col min="4610" max="4610" width="11.28515625" style="605" customWidth="1"/>
    <col min="4611" max="4611" width="11" style="605" customWidth="1"/>
    <col min="4612" max="4612" width="13.140625" style="605" customWidth="1"/>
    <col min="4613" max="4613" width="11.7109375" style="605" customWidth="1"/>
    <col min="4614" max="4614" width="11.140625" style="605" customWidth="1"/>
    <col min="4615" max="4615" width="11.7109375" style="605" customWidth="1"/>
    <col min="4616" max="4861" width="9.140625" style="605"/>
    <col min="4862" max="4862" width="5.28515625" style="605" customWidth="1"/>
    <col min="4863" max="4863" width="8" style="605" customWidth="1"/>
    <col min="4864" max="4864" width="5.85546875" style="605" customWidth="1"/>
    <col min="4865" max="4865" width="9.42578125" style="605" customWidth="1"/>
    <col min="4866" max="4866" width="11.28515625" style="605" customWidth="1"/>
    <col min="4867" max="4867" width="11" style="605" customWidth="1"/>
    <col min="4868" max="4868" width="13.140625" style="605" customWidth="1"/>
    <col min="4869" max="4869" width="11.7109375" style="605" customWidth="1"/>
    <col min="4870" max="4870" width="11.140625" style="605" customWidth="1"/>
    <col min="4871" max="4871" width="11.7109375" style="605" customWidth="1"/>
    <col min="4872" max="5117" width="9.140625" style="605"/>
    <col min="5118" max="5118" width="5.28515625" style="605" customWidth="1"/>
    <col min="5119" max="5119" width="8" style="605" customWidth="1"/>
    <col min="5120" max="5120" width="5.85546875" style="605" customWidth="1"/>
    <col min="5121" max="5121" width="9.42578125" style="605" customWidth="1"/>
    <col min="5122" max="5122" width="11.28515625" style="605" customWidth="1"/>
    <col min="5123" max="5123" width="11" style="605" customWidth="1"/>
    <col min="5124" max="5124" width="13.140625" style="605" customWidth="1"/>
    <col min="5125" max="5125" width="11.7109375" style="605" customWidth="1"/>
    <col min="5126" max="5126" width="11.140625" style="605" customWidth="1"/>
    <col min="5127" max="5127" width="11.7109375" style="605" customWidth="1"/>
    <col min="5128" max="5373" width="9.140625" style="605"/>
    <col min="5374" max="5374" width="5.28515625" style="605" customWidth="1"/>
    <col min="5375" max="5375" width="8" style="605" customWidth="1"/>
    <col min="5376" max="5376" width="5.85546875" style="605" customWidth="1"/>
    <col min="5377" max="5377" width="9.42578125" style="605" customWidth="1"/>
    <col min="5378" max="5378" width="11.28515625" style="605" customWidth="1"/>
    <col min="5379" max="5379" width="11" style="605" customWidth="1"/>
    <col min="5380" max="5380" width="13.140625" style="605" customWidth="1"/>
    <col min="5381" max="5381" width="11.7109375" style="605" customWidth="1"/>
    <col min="5382" max="5382" width="11.140625" style="605" customWidth="1"/>
    <col min="5383" max="5383" width="11.7109375" style="605" customWidth="1"/>
    <col min="5384" max="5629" width="9.140625" style="605"/>
    <col min="5630" max="5630" width="5.28515625" style="605" customWidth="1"/>
    <col min="5631" max="5631" width="8" style="605" customWidth="1"/>
    <col min="5632" max="5632" width="5.85546875" style="605" customWidth="1"/>
    <col min="5633" max="5633" width="9.42578125" style="605" customWidth="1"/>
    <col min="5634" max="5634" width="11.28515625" style="605" customWidth="1"/>
    <col min="5635" max="5635" width="11" style="605" customWidth="1"/>
    <col min="5636" max="5636" width="13.140625" style="605" customWidth="1"/>
    <col min="5637" max="5637" width="11.7109375" style="605" customWidth="1"/>
    <col min="5638" max="5638" width="11.140625" style="605" customWidth="1"/>
    <col min="5639" max="5639" width="11.7109375" style="605" customWidth="1"/>
    <col min="5640" max="5885" width="9.140625" style="605"/>
    <col min="5886" max="5886" width="5.28515625" style="605" customWidth="1"/>
    <col min="5887" max="5887" width="8" style="605" customWidth="1"/>
    <col min="5888" max="5888" width="5.85546875" style="605" customWidth="1"/>
    <col min="5889" max="5889" width="9.42578125" style="605" customWidth="1"/>
    <col min="5890" max="5890" width="11.28515625" style="605" customWidth="1"/>
    <col min="5891" max="5891" width="11" style="605" customWidth="1"/>
    <col min="5892" max="5892" width="13.140625" style="605" customWidth="1"/>
    <col min="5893" max="5893" width="11.7109375" style="605" customWidth="1"/>
    <col min="5894" max="5894" width="11.140625" style="605" customWidth="1"/>
    <col min="5895" max="5895" width="11.7109375" style="605" customWidth="1"/>
    <col min="5896" max="6141" width="9.140625" style="605"/>
    <col min="6142" max="6142" width="5.28515625" style="605" customWidth="1"/>
    <col min="6143" max="6143" width="8" style="605" customWidth="1"/>
    <col min="6144" max="6144" width="5.85546875" style="605" customWidth="1"/>
    <col min="6145" max="6145" width="9.42578125" style="605" customWidth="1"/>
    <col min="6146" max="6146" width="11.28515625" style="605" customWidth="1"/>
    <col min="6147" max="6147" width="11" style="605" customWidth="1"/>
    <col min="6148" max="6148" width="13.140625" style="605" customWidth="1"/>
    <col min="6149" max="6149" width="11.7109375" style="605" customWidth="1"/>
    <col min="6150" max="6150" width="11.140625" style="605" customWidth="1"/>
    <col min="6151" max="6151" width="11.7109375" style="605" customWidth="1"/>
    <col min="6152" max="6397" width="9.140625" style="605"/>
    <col min="6398" max="6398" width="5.28515625" style="605" customWidth="1"/>
    <col min="6399" max="6399" width="8" style="605" customWidth="1"/>
    <col min="6400" max="6400" width="5.85546875" style="605" customWidth="1"/>
    <col min="6401" max="6401" width="9.42578125" style="605" customWidth="1"/>
    <col min="6402" max="6402" width="11.28515625" style="605" customWidth="1"/>
    <col min="6403" max="6403" width="11" style="605" customWidth="1"/>
    <col min="6404" max="6404" width="13.140625" style="605" customWidth="1"/>
    <col min="6405" max="6405" width="11.7109375" style="605" customWidth="1"/>
    <col min="6406" max="6406" width="11.140625" style="605" customWidth="1"/>
    <col min="6407" max="6407" width="11.7109375" style="605" customWidth="1"/>
    <col min="6408" max="6653" width="9.140625" style="605"/>
    <col min="6654" max="6654" width="5.28515625" style="605" customWidth="1"/>
    <col min="6655" max="6655" width="8" style="605" customWidth="1"/>
    <col min="6656" max="6656" width="5.85546875" style="605" customWidth="1"/>
    <col min="6657" max="6657" width="9.42578125" style="605" customWidth="1"/>
    <col min="6658" max="6658" width="11.28515625" style="605" customWidth="1"/>
    <col min="6659" max="6659" width="11" style="605" customWidth="1"/>
    <col min="6660" max="6660" width="13.140625" style="605" customWidth="1"/>
    <col min="6661" max="6661" width="11.7109375" style="605" customWidth="1"/>
    <col min="6662" max="6662" width="11.140625" style="605" customWidth="1"/>
    <col min="6663" max="6663" width="11.7109375" style="605" customWidth="1"/>
    <col min="6664" max="6909" width="9.140625" style="605"/>
    <col min="6910" max="6910" width="5.28515625" style="605" customWidth="1"/>
    <col min="6911" max="6911" width="8" style="605" customWidth="1"/>
    <col min="6912" max="6912" width="5.85546875" style="605" customWidth="1"/>
    <col min="6913" max="6913" width="9.42578125" style="605" customWidth="1"/>
    <col min="6914" max="6914" width="11.28515625" style="605" customWidth="1"/>
    <col min="6915" max="6915" width="11" style="605" customWidth="1"/>
    <col min="6916" max="6916" width="13.140625" style="605" customWidth="1"/>
    <col min="6917" max="6917" width="11.7109375" style="605" customWidth="1"/>
    <col min="6918" max="6918" width="11.140625" style="605" customWidth="1"/>
    <col min="6919" max="6919" width="11.7109375" style="605" customWidth="1"/>
    <col min="6920" max="7165" width="9.140625" style="605"/>
    <col min="7166" max="7166" width="5.28515625" style="605" customWidth="1"/>
    <col min="7167" max="7167" width="8" style="605" customWidth="1"/>
    <col min="7168" max="7168" width="5.85546875" style="605" customWidth="1"/>
    <col min="7169" max="7169" width="9.42578125" style="605" customWidth="1"/>
    <col min="7170" max="7170" width="11.28515625" style="605" customWidth="1"/>
    <col min="7171" max="7171" width="11" style="605" customWidth="1"/>
    <col min="7172" max="7172" width="13.140625" style="605" customWidth="1"/>
    <col min="7173" max="7173" width="11.7109375" style="605" customWidth="1"/>
    <col min="7174" max="7174" width="11.140625" style="605" customWidth="1"/>
    <col min="7175" max="7175" width="11.7109375" style="605" customWidth="1"/>
    <col min="7176" max="7421" width="9.140625" style="605"/>
    <col min="7422" max="7422" width="5.28515625" style="605" customWidth="1"/>
    <col min="7423" max="7423" width="8" style="605" customWidth="1"/>
    <col min="7424" max="7424" width="5.85546875" style="605" customWidth="1"/>
    <col min="7425" max="7425" width="9.42578125" style="605" customWidth="1"/>
    <col min="7426" max="7426" width="11.28515625" style="605" customWidth="1"/>
    <col min="7427" max="7427" width="11" style="605" customWidth="1"/>
    <col min="7428" max="7428" width="13.140625" style="605" customWidth="1"/>
    <col min="7429" max="7429" width="11.7109375" style="605" customWidth="1"/>
    <col min="7430" max="7430" width="11.140625" style="605" customWidth="1"/>
    <col min="7431" max="7431" width="11.7109375" style="605" customWidth="1"/>
    <col min="7432" max="7677" width="9.140625" style="605"/>
    <col min="7678" max="7678" width="5.28515625" style="605" customWidth="1"/>
    <col min="7679" max="7679" width="8" style="605" customWidth="1"/>
    <col min="7680" max="7680" width="5.85546875" style="605" customWidth="1"/>
    <col min="7681" max="7681" width="9.42578125" style="605" customWidth="1"/>
    <col min="7682" max="7682" width="11.28515625" style="605" customWidth="1"/>
    <col min="7683" max="7683" width="11" style="605" customWidth="1"/>
    <col min="7684" max="7684" width="13.140625" style="605" customWidth="1"/>
    <col min="7685" max="7685" width="11.7109375" style="605" customWidth="1"/>
    <col min="7686" max="7686" width="11.140625" style="605" customWidth="1"/>
    <col min="7687" max="7687" width="11.7109375" style="605" customWidth="1"/>
    <col min="7688" max="7933" width="9.140625" style="605"/>
    <col min="7934" max="7934" width="5.28515625" style="605" customWidth="1"/>
    <col min="7935" max="7935" width="8" style="605" customWidth="1"/>
    <col min="7936" max="7936" width="5.85546875" style="605" customWidth="1"/>
    <col min="7937" max="7937" width="9.42578125" style="605" customWidth="1"/>
    <col min="7938" max="7938" width="11.28515625" style="605" customWidth="1"/>
    <col min="7939" max="7939" width="11" style="605" customWidth="1"/>
    <col min="7940" max="7940" width="13.140625" style="605" customWidth="1"/>
    <col min="7941" max="7941" width="11.7109375" style="605" customWidth="1"/>
    <col min="7942" max="7942" width="11.140625" style="605" customWidth="1"/>
    <col min="7943" max="7943" width="11.7109375" style="605" customWidth="1"/>
    <col min="7944" max="8189" width="9.140625" style="605"/>
    <col min="8190" max="8190" width="5.28515625" style="605" customWidth="1"/>
    <col min="8191" max="8191" width="8" style="605" customWidth="1"/>
    <col min="8192" max="8192" width="5.85546875" style="605" customWidth="1"/>
    <col min="8193" max="8193" width="9.42578125" style="605" customWidth="1"/>
    <col min="8194" max="8194" width="11.28515625" style="605" customWidth="1"/>
    <col min="8195" max="8195" width="11" style="605" customWidth="1"/>
    <col min="8196" max="8196" width="13.140625" style="605" customWidth="1"/>
    <col min="8197" max="8197" width="11.7109375" style="605" customWidth="1"/>
    <col min="8198" max="8198" width="11.140625" style="605" customWidth="1"/>
    <col min="8199" max="8199" width="11.7109375" style="605" customWidth="1"/>
    <col min="8200" max="8445" width="9.140625" style="605"/>
    <col min="8446" max="8446" width="5.28515625" style="605" customWidth="1"/>
    <col min="8447" max="8447" width="8" style="605" customWidth="1"/>
    <col min="8448" max="8448" width="5.85546875" style="605" customWidth="1"/>
    <col min="8449" max="8449" width="9.42578125" style="605" customWidth="1"/>
    <col min="8450" max="8450" width="11.28515625" style="605" customWidth="1"/>
    <col min="8451" max="8451" width="11" style="605" customWidth="1"/>
    <col min="8452" max="8452" width="13.140625" style="605" customWidth="1"/>
    <col min="8453" max="8453" width="11.7109375" style="605" customWidth="1"/>
    <col min="8454" max="8454" width="11.140625" style="605" customWidth="1"/>
    <col min="8455" max="8455" width="11.7109375" style="605" customWidth="1"/>
    <col min="8456" max="8701" width="9.140625" style="605"/>
    <col min="8702" max="8702" width="5.28515625" style="605" customWidth="1"/>
    <col min="8703" max="8703" width="8" style="605" customWidth="1"/>
    <col min="8704" max="8704" width="5.85546875" style="605" customWidth="1"/>
    <col min="8705" max="8705" width="9.42578125" style="605" customWidth="1"/>
    <col min="8706" max="8706" width="11.28515625" style="605" customWidth="1"/>
    <col min="8707" max="8707" width="11" style="605" customWidth="1"/>
    <col min="8708" max="8708" width="13.140625" style="605" customWidth="1"/>
    <col min="8709" max="8709" width="11.7109375" style="605" customWidth="1"/>
    <col min="8710" max="8710" width="11.140625" style="605" customWidth="1"/>
    <col min="8711" max="8711" width="11.7109375" style="605" customWidth="1"/>
    <col min="8712" max="8957" width="9.140625" style="605"/>
    <col min="8958" max="8958" width="5.28515625" style="605" customWidth="1"/>
    <col min="8959" max="8959" width="8" style="605" customWidth="1"/>
    <col min="8960" max="8960" width="5.85546875" style="605" customWidth="1"/>
    <col min="8961" max="8961" width="9.42578125" style="605" customWidth="1"/>
    <col min="8962" max="8962" width="11.28515625" style="605" customWidth="1"/>
    <col min="8963" max="8963" width="11" style="605" customWidth="1"/>
    <col min="8964" max="8964" width="13.140625" style="605" customWidth="1"/>
    <col min="8965" max="8965" width="11.7109375" style="605" customWidth="1"/>
    <col min="8966" max="8966" width="11.140625" style="605" customWidth="1"/>
    <col min="8967" max="8967" width="11.7109375" style="605" customWidth="1"/>
    <col min="8968" max="9213" width="9.140625" style="605"/>
    <col min="9214" max="9214" width="5.28515625" style="605" customWidth="1"/>
    <col min="9215" max="9215" width="8" style="605" customWidth="1"/>
    <col min="9216" max="9216" width="5.85546875" style="605" customWidth="1"/>
    <col min="9217" max="9217" width="9.42578125" style="605" customWidth="1"/>
    <col min="9218" max="9218" width="11.28515625" style="605" customWidth="1"/>
    <col min="9219" max="9219" width="11" style="605" customWidth="1"/>
    <col min="9220" max="9220" width="13.140625" style="605" customWidth="1"/>
    <col min="9221" max="9221" width="11.7109375" style="605" customWidth="1"/>
    <col min="9222" max="9222" width="11.140625" style="605" customWidth="1"/>
    <col min="9223" max="9223" width="11.7109375" style="605" customWidth="1"/>
    <col min="9224" max="9469" width="9.140625" style="605"/>
    <col min="9470" max="9470" width="5.28515625" style="605" customWidth="1"/>
    <col min="9471" max="9471" width="8" style="605" customWidth="1"/>
    <col min="9472" max="9472" width="5.85546875" style="605" customWidth="1"/>
    <col min="9473" max="9473" width="9.42578125" style="605" customWidth="1"/>
    <col min="9474" max="9474" width="11.28515625" style="605" customWidth="1"/>
    <col min="9475" max="9475" width="11" style="605" customWidth="1"/>
    <col min="9476" max="9476" width="13.140625" style="605" customWidth="1"/>
    <col min="9477" max="9477" width="11.7109375" style="605" customWidth="1"/>
    <col min="9478" max="9478" width="11.140625" style="605" customWidth="1"/>
    <col min="9479" max="9479" width="11.7109375" style="605" customWidth="1"/>
    <col min="9480" max="9725" width="9.140625" style="605"/>
    <col min="9726" max="9726" width="5.28515625" style="605" customWidth="1"/>
    <col min="9727" max="9727" width="8" style="605" customWidth="1"/>
    <col min="9728" max="9728" width="5.85546875" style="605" customWidth="1"/>
    <col min="9729" max="9729" width="9.42578125" style="605" customWidth="1"/>
    <col min="9730" max="9730" width="11.28515625" style="605" customWidth="1"/>
    <col min="9731" max="9731" width="11" style="605" customWidth="1"/>
    <col min="9732" max="9732" width="13.140625" style="605" customWidth="1"/>
    <col min="9733" max="9733" width="11.7109375" style="605" customWidth="1"/>
    <col min="9734" max="9734" width="11.140625" style="605" customWidth="1"/>
    <col min="9735" max="9735" width="11.7109375" style="605" customWidth="1"/>
    <col min="9736" max="9981" width="9.140625" style="605"/>
    <col min="9982" max="9982" width="5.28515625" style="605" customWidth="1"/>
    <col min="9983" max="9983" width="8" style="605" customWidth="1"/>
    <col min="9984" max="9984" width="5.85546875" style="605" customWidth="1"/>
    <col min="9985" max="9985" width="9.42578125" style="605" customWidth="1"/>
    <col min="9986" max="9986" width="11.28515625" style="605" customWidth="1"/>
    <col min="9987" max="9987" width="11" style="605" customWidth="1"/>
    <col min="9988" max="9988" width="13.140625" style="605" customWidth="1"/>
    <col min="9989" max="9989" width="11.7109375" style="605" customWidth="1"/>
    <col min="9990" max="9990" width="11.140625" style="605" customWidth="1"/>
    <col min="9991" max="9991" width="11.7109375" style="605" customWidth="1"/>
    <col min="9992" max="10237" width="9.140625" style="605"/>
    <col min="10238" max="10238" width="5.28515625" style="605" customWidth="1"/>
    <col min="10239" max="10239" width="8" style="605" customWidth="1"/>
    <col min="10240" max="10240" width="5.85546875" style="605" customWidth="1"/>
    <col min="10241" max="10241" width="9.42578125" style="605" customWidth="1"/>
    <col min="10242" max="10242" width="11.28515625" style="605" customWidth="1"/>
    <col min="10243" max="10243" width="11" style="605" customWidth="1"/>
    <col min="10244" max="10244" width="13.140625" style="605" customWidth="1"/>
    <col min="10245" max="10245" width="11.7109375" style="605" customWidth="1"/>
    <col min="10246" max="10246" width="11.140625" style="605" customWidth="1"/>
    <col min="10247" max="10247" width="11.7109375" style="605" customWidth="1"/>
    <col min="10248" max="10493" width="9.140625" style="605"/>
    <col min="10494" max="10494" width="5.28515625" style="605" customWidth="1"/>
    <col min="10495" max="10495" width="8" style="605" customWidth="1"/>
    <col min="10496" max="10496" width="5.85546875" style="605" customWidth="1"/>
    <col min="10497" max="10497" width="9.42578125" style="605" customWidth="1"/>
    <col min="10498" max="10498" width="11.28515625" style="605" customWidth="1"/>
    <col min="10499" max="10499" width="11" style="605" customWidth="1"/>
    <col min="10500" max="10500" width="13.140625" style="605" customWidth="1"/>
    <col min="10501" max="10501" width="11.7109375" style="605" customWidth="1"/>
    <col min="10502" max="10502" width="11.140625" style="605" customWidth="1"/>
    <col min="10503" max="10503" width="11.7109375" style="605" customWidth="1"/>
    <col min="10504" max="10749" width="9.140625" style="605"/>
    <col min="10750" max="10750" width="5.28515625" style="605" customWidth="1"/>
    <col min="10751" max="10751" width="8" style="605" customWidth="1"/>
    <col min="10752" max="10752" width="5.85546875" style="605" customWidth="1"/>
    <col min="10753" max="10753" width="9.42578125" style="605" customWidth="1"/>
    <col min="10754" max="10754" width="11.28515625" style="605" customWidth="1"/>
    <col min="10755" max="10755" width="11" style="605" customWidth="1"/>
    <col min="10756" max="10756" width="13.140625" style="605" customWidth="1"/>
    <col min="10757" max="10757" width="11.7109375" style="605" customWidth="1"/>
    <col min="10758" max="10758" width="11.140625" style="605" customWidth="1"/>
    <col min="10759" max="10759" width="11.7109375" style="605" customWidth="1"/>
    <col min="10760" max="11005" width="9.140625" style="605"/>
    <col min="11006" max="11006" width="5.28515625" style="605" customWidth="1"/>
    <col min="11007" max="11007" width="8" style="605" customWidth="1"/>
    <col min="11008" max="11008" width="5.85546875" style="605" customWidth="1"/>
    <col min="11009" max="11009" width="9.42578125" style="605" customWidth="1"/>
    <col min="11010" max="11010" width="11.28515625" style="605" customWidth="1"/>
    <col min="11011" max="11011" width="11" style="605" customWidth="1"/>
    <col min="11012" max="11012" width="13.140625" style="605" customWidth="1"/>
    <col min="11013" max="11013" width="11.7109375" style="605" customWidth="1"/>
    <col min="11014" max="11014" width="11.140625" style="605" customWidth="1"/>
    <col min="11015" max="11015" width="11.7109375" style="605" customWidth="1"/>
    <col min="11016" max="11261" width="9.140625" style="605"/>
    <col min="11262" max="11262" width="5.28515625" style="605" customWidth="1"/>
    <col min="11263" max="11263" width="8" style="605" customWidth="1"/>
    <col min="11264" max="11264" width="5.85546875" style="605" customWidth="1"/>
    <col min="11265" max="11265" width="9.42578125" style="605" customWidth="1"/>
    <col min="11266" max="11266" width="11.28515625" style="605" customWidth="1"/>
    <col min="11267" max="11267" width="11" style="605" customWidth="1"/>
    <col min="11268" max="11268" width="13.140625" style="605" customWidth="1"/>
    <col min="11269" max="11269" width="11.7109375" style="605" customWidth="1"/>
    <col min="11270" max="11270" width="11.140625" style="605" customWidth="1"/>
    <col min="11271" max="11271" width="11.7109375" style="605" customWidth="1"/>
    <col min="11272" max="11517" width="9.140625" style="605"/>
    <col min="11518" max="11518" width="5.28515625" style="605" customWidth="1"/>
    <col min="11519" max="11519" width="8" style="605" customWidth="1"/>
    <col min="11520" max="11520" width="5.85546875" style="605" customWidth="1"/>
    <col min="11521" max="11521" width="9.42578125" style="605" customWidth="1"/>
    <col min="11522" max="11522" width="11.28515625" style="605" customWidth="1"/>
    <col min="11523" max="11523" width="11" style="605" customWidth="1"/>
    <col min="11524" max="11524" width="13.140625" style="605" customWidth="1"/>
    <col min="11525" max="11525" width="11.7109375" style="605" customWidth="1"/>
    <col min="11526" max="11526" width="11.140625" style="605" customWidth="1"/>
    <col min="11527" max="11527" width="11.7109375" style="605" customWidth="1"/>
    <col min="11528" max="11773" width="9.140625" style="605"/>
    <col min="11774" max="11774" width="5.28515625" style="605" customWidth="1"/>
    <col min="11775" max="11775" width="8" style="605" customWidth="1"/>
    <col min="11776" max="11776" width="5.85546875" style="605" customWidth="1"/>
    <col min="11777" max="11777" width="9.42578125" style="605" customWidth="1"/>
    <col min="11778" max="11778" width="11.28515625" style="605" customWidth="1"/>
    <col min="11779" max="11779" width="11" style="605" customWidth="1"/>
    <col min="11780" max="11780" width="13.140625" style="605" customWidth="1"/>
    <col min="11781" max="11781" width="11.7109375" style="605" customWidth="1"/>
    <col min="11782" max="11782" width="11.140625" style="605" customWidth="1"/>
    <col min="11783" max="11783" width="11.7109375" style="605" customWidth="1"/>
    <col min="11784" max="12029" width="9.140625" style="605"/>
    <col min="12030" max="12030" width="5.28515625" style="605" customWidth="1"/>
    <col min="12031" max="12031" width="8" style="605" customWidth="1"/>
    <col min="12032" max="12032" width="5.85546875" style="605" customWidth="1"/>
    <col min="12033" max="12033" width="9.42578125" style="605" customWidth="1"/>
    <col min="12034" max="12034" width="11.28515625" style="605" customWidth="1"/>
    <col min="12035" max="12035" width="11" style="605" customWidth="1"/>
    <col min="12036" max="12036" width="13.140625" style="605" customWidth="1"/>
    <col min="12037" max="12037" width="11.7109375" style="605" customWidth="1"/>
    <col min="12038" max="12038" width="11.140625" style="605" customWidth="1"/>
    <col min="12039" max="12039" width="11.7109375" style="605" customWidth="1"/>
    <col min="12040" max="12285" width="9.140625" style="605"/>
    <col min="12286" max="12286" width="5.28515625" style="605" customWidth="1"/>
    <col min="12287" max="12287" width="8" style="605" customWidth="1"/>
    <col min="12288" max="12288" width="5.85546875" style="605" customWidth="1"/>
    <col min="12289" max="12289" width="9.42578125" style="605" customWidth="1"/>
    <col min="12290" max="12290" width="11.28515625" style="605" customWidth="1"/>
    <col min="12291" max="12291" width="11" style="605" customWidth="1"/>
    <col min="12292" max="12292" width="13.140625" style="605" customWidth="1"/>
    <col min="12293" max="12293" width="11.7109375" style="605" customWidth="1"/>
    <col min="12294" max="12294" width="11.140625" style="605" customWidth="1"/>
    <col min="12295" max="12295" width="11.7109375" style="605" customWidth="1"/>
    <col min="12296" max="12541" width="9.140625" style="605"/>
    <col min="12542" max="12542" width="5.28515625" style="605" customWidth="1"/>
    <col min="12543" max="12543" width="8" style="605" customWidth="1"/>
    <col min="12544" max="12544" width="5.85546875" style="605" customWidth="1"/>
    <col min="12545" max="12545" width="9.42578125" style="605" customWidth="1"/>
    <col min="12546" max="12546" width="11.28515625" style="605" customWidth="1"/>
    <col min="12547" max="12547" width="11" style="605" customWidth="1"/>
    <col min="12548" max="12548" width="13.140625" style="605" customWidth="1"/>
    <col min="12549" max="12549" width="11.7109375" style="605" customWidth="1"/>
    <col min="12550" max="12550" width="11.140625" style="605" customWidth="1"/>
    <col min="12551" max="12551" width="11.7109375" style="605" customWidth="1"/>
    <col min="12552" max="12797" width="9.140625" style="605"/>
    <col min="12798" max="12798" width="5.28515625" style="605" customWidth="1"/>
    <col min="12799" max="12799" width="8" style="605" customWidth="1"/>
    <col min="12800" max="12800" width="5.85546875" style="605" customWidth="1"/>
    <col min="12801" max="12801" width="9.42578125" style="605" customWidth="1"/>
    <col min="12802" max="12802" width="11.28515625" style="605" customWidth="1"/>
    <col min="12803" max="12803" width="11" style="605" customWidth="1"/>
    <col min="12804" max="12804" width="13.140625" style="605" customWidth="1"/>
    <col min="12805" max="12805" width="11.7109375" style="605" customWidth="1"/>
    <col min="12806" max="12806" width="11.140625" style="605" customWidth="1"/>
    <col min="12807" max="12807" width="11.7109375" style="605" customWidth="1"/>
    <col min="12808" max="13053" width="9.140625" style="605"/>
    <col min="13054" max="13054" width="5.28515625" style="605" customWidth="1"/>
    <col min="13055" max="13055" width="8" style="605" customWidth="1"/>
    <col min="13056" max="13056" width="5.85546875" style="605" customWidth="1"/>
    <col min="13057" max="13057" width="9.42578125" style="605" customWidth="1"/>
    <col min="13058" max="13058" width="11.28515625" style="605" customWidth="1"/>
    <col min="13059" max="13059" width="11" style="605" customWidth="1"/>
    <col min="13060" max="13060" width="13.140625" style="605" customWidth="1"/>
    <col min="13061" max="13061" width="11.7109375" style="605" customWidth="1"/>
    <col min="13062" max="13062" width="11.140625" style="605" customWidth="1"/>
    <col min="13063" max="13063" width="11.7109375" style="605" customWidth="1"/>
    <col min="13064" max="13309" width="9.140625" style="605"/>
    <col min="13310" max="13310" width="5.28515625" style="605" customWidth="1"/>
    <col min="13311" max="13311" width="8" style="605" customWidth="1"/>
    <col min="13312" max="13312" width="5.85546875" style="605" customWidth="1"/>
    <col min="13313" max="13313" width="9.42578125" style="605" customWidth="1"/>
    <col min="13314" max="13314" width="11.28515625" style="605" customWidth="1"/>
    <col min="13315" max="13315" width="11" style="605" customWidth="1"/>
    <col min="13316" max="13316" width="13.140625" style="605" customWidth="1"/>
    <col min="13317" max="13317" width="11.7109375" style="605" customWidth="1"/>
    <col min="13318" max="13318" width="11.140625" style="605" customWidth="1"/>
    <col min="13319" max="13319" width="11.7109375" style="605" customWidth="1"/>
    <col min="13320" max="13565" width="9.140625" style="605"/>
    <col min="13566" max="13566" width="5.28515625" style="605" customWidth="1"/>
    <col min="13567" max="13567" width="8" style="605" customWidth="1"/>
    <col min="13568" max="13568" width="5.85546875" style="605" customWidth="1"/>
    <col min="13569" max="13569" width="9.42578125" style="605" customWidth="1"/>
    <col min="13570" max="13570" width="11.28515625" style="605" customWidth="1"/>
    <col min="13571" max="13571" width="11" style="605" customWidth="1"/>
    <col min="13572" max="13572" width="13.140625" style="605" customWidth="1"/>
    <col min="13573" max="13573" width="11.7109375" style="605" customWidth="1"/>
    <col min="13574" max="13574" width="11.140625" style="605" customWidth="1"/>
    <col min="13575" max="13575" width="11.7109375" style="605" customWidth="1"/>
    <col min="13576" max="13821" width="9.140625" style="605"/>
    <col min="13822" max="13822" width="5.28515625" style="605" customWidth="1"/>
    <col min="13823" max="13823" width="8" style="605" customWidth="1"/>
    <col min="13824" max="13824" width="5.85546875" style="605" customWidth="1"/>
    <col min="13825" max="13825" width="9.42578125" style="605" customWidth="1"/>
    <col min="13826" max="13826" width="11.28515625" style="605" customWidth="1"/>
    <col min="13827" max="13827" width="11" style="605" customWidth="1"/>
    <col min="13828" max="13828" width="13.140625" style="605" customWidth="1"/>
    <col min="13829" max="13829" width="11.7109375" style="605" customWidth="1"/>
    <col min="13830" max="13830" width="11.140625" style="605" customWidth="1"/>
    <col min="13831" max="13831" width="11.7109375" style="605" customWidth="1"/>
    <col min="13832" max="14077" width="9.140625" style="605"/>
    <col min="14078" max="14078" width="5.28515625" style="605" customWidth="1"/>
    <col min="14079" max="14079" width="8" style="605" customWidth="1"/>
    <col min="14080" max="14080" width="5.85546875" style="605" customWidth="1"/>
    <col min="14081" max="14081" width="9.42578125" style="605" customWidth="1"/>
    <col min="14082" max="14082" width="11.28515625" style="605" customWidth="1"/>
    <col min="14083" max="14083" width="11" style="605" customWidth="1"/>
    <col min="14084" max="14084" width="13.140625" style="605" customWidth="1"/>
    <col min="14085" max="14085" width="11.7109375" style="605" customWidth="1"/>
    <col min="14086" max="14086" width="11.140625" style="605" customWidth="1"/>
    <col min="14087" max="14087" width="11.7109375" style="605" customWidth="1"/>
    <col min="14088" max="14333" width="9.140625" style="605"/>
    <col min="14334" max="14334" width="5.28515625" style="605" customWidth="1"/>
    <col min="14335" max="14335" width="8" style="605" customWidth="1"/>
    <col min="14336" max="14336" width="5.85546875" style="605" customWidth="1"/>
    <col min="14337" max="14337" width="9.42578125" style="605" customWidth="1"/>
    <col min="14338" max="14338" width="11.28515625" style="605" customWidth="1"/>
    <col min="14339" max="14339" width="11" style="605" customWidth="1"/>
    <col min="14340" max="14340" width="13.140625" style="605" customWidth="1"/>
    <col min="14341" max="14341" width="11.7109375" style="605" customWidth="1"/>
    <col min="14342" max="14342" width="11.140625" style="605" customWidth="1"/>
    <col min="14343" max="14343" width="11.7109375" style="605" customWidth="1"/>
    <col min="14344" max="14589" width="9.140625" style="605"/>
    <col min="14590" max="14590" width="5.28515625" style="605" customWidth="1"/>
    <col min="14591" max="14591" width="8" style="605" customWidth="1"/>
    <col min="14592" max="14592" width="5.85546875" style="605" customWidth="1"/>
    <col min="14593" max="14593" width="9.42578125" style="605" customWidth="1"/>
    <col min="14594" max="14594" width="11.28515625" style="605" customWidth="1"/>
    <col min="14595" max="14595" width="11" style="605" customWidth="1"/>
    <col min="14596" max="14596" width="13.140625" style="605" customWidth="1"/>
    <col min="14597" max="14597" width="11.7109375" style="605" customWidth="1"/>
    <col min="14598" max="14598" width="11.140625" style="605" customWidth="1"/>
    <col min="14599" max="14599" width="11.7109375" style="605" customWidth="1"/>
    <col min="14600" max="14845" width="9.140625" style="605"/>
    <col min="14846" max="14846" width="5.28515625" style="605" customWidth="1"/>
    <col min="14847" max="14847" width="8" style="605" customWidth="1"/>
    <col min="14848" max="14848" width="5.85546875" style="605" customWidth="1"/>
    <col min="14849" max="14849" width="9.42578125" style="605" customWidth="1"/>
    <col min="14850" max="14850" width="11.28515625" style="605" customWidth="1"/>
    <col min="14851" max="14851" width="11" style="605" customWidth="1"/>
    <col min="14852" max="14852" width="13.140625" style="605" customWidth="1"/>
    <col min="14853" max="14853" width="11.7109375" style="605" customWidth="1"/>
    <col min="14854" max="14854" width="11.140625" style="605" customWidth="1"/>
    <col min="14855" max="14855" width="11.7109375" style="605" customWidth="1"/>
    <col min="14856" max="15101" width="9.140625" style="605"/>
    <col min="15102" max="15102" width="5.28515625" style="605" customWidth="1"/>
    <col min="15103" max="15103" width="8" style="605" customWidth="1"/>
    <col min="15104" max="15104" width="5.85546875" style="605" customWidth="1"/>
    <col min="15105" max="15105" width="9.42578125" style="605" customWidth="1"/>
    <col min="15106" max="15106" width="11.28515625" style="605" customWidth="1"/>
    <col min="15107" max="15107" width="11" style="605" customWidth="1"/>
    <col min="15108" max="15108" width="13.140625" style="605" customWidth="1"/>
    <col min="15109" max="15109" width="11.7109375" style="605" customWidth="1"/>
    <col min="15110" max="15110" width="11.140625" style="605" customWidth="1"/>
    <col min="15111" max="15111" width="11.7109375" style="605" customWidth="1"/>
    <col min="15112" max="15357" width="9.140625" style="605"/>
    <col min="15358" max="15358" width="5.28515625" style="605" customWidth="1"/>
    <col min="15359" max="15359" width="8" style="605" customWidth="1"/>
    <col min="15360" max="15360" width="5.85546875" style="605" customWidth="1"/>
    <col min="15361" max="15361" width="9.42578125" style="605" customWidth="1"/>
    <col min="15362" max="15362" width="11.28515625" style="605" customWidth="1"/>
    <col min="15363" max="15363" width="11" style="605" customWidth="1"/>
    <col min="15364" max="15364" width="13.140625" style="605" customWidth="1"/>
    <col min="15365" max="15365" width="11.7109375" style="605" customWidth="1"/>
    <col min="15366" max="15366" width="11.140625" style="605" customWidth="1"/>
    <col min="15367" max="15367" width="11.7109375" style="605" customWidth="1"/>
    <col min="15368" max="15613" width="9.140625" style="605"/>
    <col min="15614" max="15614" width="5.28515625" style="605" customWidth="1"/>
    <col min="15615" max="15615" width="8" style="605" customWidth="1"/>
    <col min="15616" max="15616" width="5.85546875" style="605" customWidth="1"/>
    <col min="15617" max="15617" width="9.42578125" style="605" customWidth="1"/>
    <col min="15618" max="15618" width="11.28515625" style="605" customWidth="1"/>
    <col min="15619" max="15619" width="11" style="605" customWidth="1"/>
    <col min="15620" max="15620" width="13.140625" style="605" customWidth="1"/>
    <col min="15621" max="15621" width="11.7109375" style="605" customWidth="1"/>
    <col min="15622" max="15622" width="11.140625" style="605" customWidth="1"/>
    <col min="15623" max="15623" width="11.7109375" style="605" customWidth="1"/>
    <col min="15624" max="15869" width="9.140625" style="605"/>
    <col min="15870" max="15870" width="5.28515625" style="605" customWidth="1"/>
    <col min="15871" max="15871" width="8" style="605" customWidth="1"/>
    <col min="15872" max="15872" width="5.85546875" style="605" customWidth="1"/>
    <col min="15873" max="15873" width="9.42578125" style="605" customWidth="1"/>
    <col min="15874" max="15874" width="11.28515625" style="605" customWidth="1"/>
    <col min="15875" max="15875" width="11" style="605" customWidth="1"/>
    <col min="15876" max="15876" width="13.140625" style="605" customWidth="1"/>
    <col min="15877" max="15877" width="11.7109375" style="605" customWidth="1"/>
    <col min="15878" max="15878" width="11.140625" style="605" customWidth="1"/>
    <col min="15879" max="15879" width="11.7109375" style="605" customWidth="1"/>
    <col min="15880" max="16125" width="9.140625" style="605"/>
    <col min="16126" max="16126" width="5.28515625" style="605" customWidth="1"/>
    <col min="16127" max="16127" width="8" style="605" customWidth="1"/>
    <col min="16128" max="16128" width="5.85546875" style="605" customWidth="1"/>
    <col min="16129" max="16129" width="9.42578125" style="605" customWidth="1"/>
    <col min="16130" max="16130" width="11.28515625" style="605" customWidth="1"/>
    <col min="16131" max="16131" width="11" style="605" customWidth="1"/>
    <col min="16132" max="16132" width="13.140625" style="605" customWidth="1"/>
    <col min="16133" max="16133" width="11.7109375" style="605" customWidth="1"/>
    <col min="16134" max="16134" width="11.140625" style="605" customWidth="1"/>
    <col min="16135" max="16135" width="11.7109375" style="605" customWidth="1"/>
    <col min="16136" max="16384" width="9.140625" style="605"/>
  </cols>
  <sheetData>
    <row r="1" spans="1:72" ht="12.75" customHeight="1" x14ac:dyDescent="0.25">
      <c r="A1" s="517"/>
      <c r="F1" s="3" t="s">
        <v>491</v>
      </c>
    </row>
    <row r="2" spans="1:72" ht="12.75" customHeight="1" x14ac:dyDescent="0.25">
      <c r="F2" s="3" t="s">
        <v>286</v>
      </c>
    </row>
    <row r="3" spans="1:72" ht="12.75" customHeight="1" x14ac:dyDescent="0.25">
      <c r="F3" s="3" t="s">
        <v>0</v>
      </c>
    </row>
    <row r="4" spans="1:72" ht="12.75" customHeight="1" x14ac:dyDescent="0.25">
      <c r="F4" s="3" t="s">
        <v>287</v>
      </c>
    </row>
    <row r="5" spans="1:72" ht="12.75" customHeight="1" x14ac:dyDescent="0.25"/>
    <row r="6" spans="1:72" ht="13.5" customHeight="1" x14ac:dyDescent="0.25">
      <c r="A6" s="74" t="s">
        <v>492</v>
      </c>
      <c r="B6" s="74"/>
      <c r="C6" s="74"/>
      <c r="D6" s="74"/>
      <c r="E6" s="74"/>
      <c r="F6" s="74"/>
      <c r="G6" s="74"/>
      <c r="J6" s="1"/>
    </row>
    <row r="7" spans="1:72" ht="12.75" customHeight="1" x14ac:dyDescent="0.25">
      <c r="A7" s="74" t="s">
        <v>493</v>
      </c>
      <c r="B7" s="518"/>
      <c r="C7" s="518"/>
      <c r="D7" s="518"/>
      <c r="E7" s="518"/>
      <c r="F7" s="518"/>
      <c r="G7" s="518"/>
      <c r="J7" s="1"/>
    </row>
    <row r="8" spans="1:72" ht="9" customHeight="1" x14ac:dyDescent="0.25">
      <c r="A8" s="519"/>
      <c r="B8" s="520"/>
      <c r="C8" s="520"/>
      <c r="D8" s="520"/>
      <c r="E8" s="520"/>
      <c r="F8" s="520"/>
      <c r="G8" s="520"/>
      <c r="J8" s="1"/>
    </row>
    <row r="9" spans="1:72" ht="11.25" customHeight="1" x14ac:dyDescent="0.25">
      <c r="G9" s="521" t="s">
        <v>2</v>
      </c>
    </row>
    <row r="10" spans="1:72" s="525" customFormat="1" ht="36.75" customHeight="1" x14ac:dyDescent="0.2">
      <c r="A10" s="522" t="s">
        <v>60</v>
      </c>
      <c r="B10" s="522" t="s">
        <v>347</v>
      </c>
      <c r="C10" s="522" t="s">
        <v>494</v>
      </c>
      <c r="D10" s="522" t="s">
        <v>334</v>
      </c>
      <c r="E10" s="523" t="s">
        <v>6</v>
      </c>
      <c r="F10" s="523" t="s">
        <v>495</v>
      </c>
      <c r="G10" s="523" t="s">
        <v>496</v>
      </c>
      <c r="H10" s="524"/>
      <c r="I10" s="524"/>
      <c r="J10" s="524"/>
      <c r="K10" s="524"/>
      <c r="L10" s="524"/>
      <c r="M10" s="524"/>
      <c r="N10" s="524"/>
      <c r="O10" s="524"/>
      <c r="P10" s="524"/>
      <c r="Q10" s="524"/>
      <c r="R10" s="524"/>
      <c r="S10" s="524"/>
      <c r="T10" s="524"/>
      <c r="U10" s="524"/>
      <c r="V10" s="524"/>
      <c r="W10" s="524"/>
      <c r="X10" s="524"/>
      <c r="Y10" s="524"/>
      <c r="Z10" s="524"/>
      <c r="AA10" s="524"/>
      <c r="AB10" s="524"/>
      <c r="AC10" s="524"/>
      <c r="AD10" s="524"/>
      <c r="AE10" s="524"/>
      <c r="AF10" s="524"/>
      <c r="AG10" s="524"/>
      <c r="AH10" s="524"/>
      <c r="AI10" s="524"/>
      <c r="AJ10" s="524"/>
      <c r="AK10" s="524"/>
      <c r="AL10" s="524"/>
      <c r="AM10" s="524"/>
      <c r="AN10" s="524"/>
      <c r="AO10" s="524"/>
      <c r="AP10" s="524"/>
      <c r="AQ10" s="524"/>
      <c r="AR10" s="524"/>
      <c r="AS10" s="524"/>
      <c r="AT10" s="524"/>
      <c r="AU10" s="524"/>
      <c r="AV10" s="524"/>
      <c r="AW10" s="524"/>
      <c r="AX10" s="524"/>
      <c r="AY10" s="524"/>
      <c r="AZ10" s="524"/>
      <c r="BA10" s="524"/>
      <c r="BB10" s="524"/>
      <c r="BC10" s="524"/>
      <c r="BD10" s="524"/>
      <c r="BE10" s="524"/>
      <c r="BF10" s="524"/>
      <c r="BG10" s="524"/>
      <c r="BH10" s="524"/>
      <c r="BI10" s="524"/>
      <c r="BJ10" s="524"/>
      <c r="BK10" s="524"/>
      <c r="BL10" s="524"/>
      <c r="BM10" s="524"/>
      <c r="BN10" s="524"/>
      <c r="BO10" s="524"/>
      <c r="BP10" s="524"/>
      <c r="BQ10" s="524"/>
      <c r="BR10" s="524"/>
      <c r="BS10" s="524"/>
      <c r="BT10" s="524"/>
    </row>
    <row r="11" spans="1:72" s="528" customFormat="1" ht="10.5" customHeight="1" x14ac:dyDescent="0.2">
      <c r="A11" s="526">
        <v>1</v>
      </c>
      <c r="B11" s="526">
        <v>2</v>
      </c>
      <c r="C11" s="526">
        <v>3</v>
      </c>
      <c r="D11" s="526">
        <v>4</v>
      </c>
      <c r="E11" s="526">
        <v>5</v>
      </c>
      <c r="F11" s="526">
        <v>6</v>
      </c>
      <c r="G11" s="526">
        <v>7</v>
      </c>
      <c r="H11" s="527"/>
      <c r="I11" s="527"/>
      <c r="J11" s="527"/>
      <c r="K11" s="527"/>
      <c r="L11" s="527"/>
      <c r="M11" s="527"/>
      <c r="N11" s="527"/>
      <c r="O11" s="527"/>
      <c r="P11" s="527"/>
      <c r="Q11" s="527"/>
      <c r="R11" s="527"/>
      <c r="S11" s="527"/>
      <c r="T11" s="527"/>
      <c r="U11" s="527"/>
      <c r="V11" s="527"/>
      <c r="W11" s="527"/>
      <c r="X11" s="527"/>
      <c r="Y11" s="527"/>
      <c r="Z11" s="527"/>
      <c r="AA11" s="527"/>
      <c r="AB11" s="527"/>
      <c r="AC11" s="527"/>
      <c r="AD11" s="527"/>
      <c r="AE11" s="527"/>
      <c r="AF11" s="527"/>
      <c r="AG11" s="527"/>
      <c r="AH11" s="527"/>
      <c r="AI11" s="527"/>
      <c r="AJ11" s="527"/>
      <c r="AK11" s="527"/>
      <c r="AL11" s="527"/>
      <c r="AM11" s="527"/>
      <c r="AN11" s="527"/>
      <c r="AO11" s="527"/>
      <c r="AP11" s="527"/>
      <c r="AQ11" s="527"/>
      <c r="AR11" s="527"/>
      <c r="AS11" s="527"/>
      <c r="AT11" s="527"/>
      <c r="AU11" s="527"/>
      <c r="AV11" s="527"/>
      <c r="AW11" s="527"/>
      <c r="AX11" s="527"/>
      <c r="AY11" s="527"/>
      <c r="AZ11" s="527"/>
      <c r="BA11" s="527"/>
      <c r="BB11" s="527"/>
      <c r="BC11" s="527"/>
      <c r="BD11" s="527"/>
      <c r="BE11" s="527"/>
      <c r="BF11" s="527"/>
      <c r="BG11" s="527"/>
      <c r="BH11" s="527"/>
      <c r="BI11" s="527"/>
      <c r="BJ11" s="527"/>
      <c r="BK11" s="527"/>
      <c r="BL11" s="527"/>
      <c r="BM11" s="527"/>
      <c r="BN11" s="527"/>
      <c r="BO11" s="527"/>
      <c r="BP11" s="527"/>
      <c r="BQ11" s="527"/>
      <c r="BR11" s="527"/>
      <c r="BS11" s="527"/>
      <c r="BT11" s="527"/>
    </row>
    <row r="12" spans="1:72" s="611" customFormat="1" ht="15.75" customHeight="1" x14ac:dyDescent="0.2">
      <c r="A12" s="529"/>
      <c r="B12" s="530"/>
      <c r="C12" s="531"/>
      <c r="D12" s="531"/>
      <c r="E12" s="532" t="s">
        <v>111</v>
      </c>
      <c r="F12" s="533">
        <f>6300+1461+2140+3935+683+1698+1959</f>
        <v>18176</v>
      </c>
      <c r="G12" s="534" t="s">
        <v>321</v>
      </c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18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8"/>
      <c r="BT12" s="118"/>
    </row>
    <row r="13" spans="1:72" s="611" customFormat="1" ht="24" x14ac:dyDescent="0.2">
      <c r="A13" s="535" t="s">
        <v>67</v>
      </c>
      <c r="B13" s="536" t="s">
        <v>497</v>
      </c>
      <c r="C13" s="531" t="s">
        <v>217</v>
      </c>
      <c r="D13" s="531" t="s">
        <v>498</v>
      </c>
      <c r="E13" s="537" t="s">
        <v>321</v>
      </c>
      <c r="F13" s="538" t="s">
        <v>321</v>
      </c>
      <c r="G13" s="539">
        <f>SUM(G15)</f>
        <v>18176</v>
      </c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</row>
    <row r="14" spans="1:72" s="611" customFormat="1" ht="9" customHeight="1" x14ac:dyDescent="0.2">
      <c r="A14" s="529"/>
      <c r="B14" s="540"/>
      <c r="C14" s="531"/>
      <c r="D14" s="531"/>
      <c r="E14" s="531"/>
      <c r="F14" s="541"/>
      <c r="G14" s="612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</row>
    <row r="15" spans="1:72" s="611" customFormat="1" ht="15.75" customHeight="1" x14ac:dyDescent="0.2">
      <c r="A15" s="529"/>
      <c r="B15" s="613" t="s">
        <v>499</v>
      </c>
      <c r="C15" s="531"/>
      <c r="D15" s="531"/>
      <c r="E15" s="531"/>
      <c r="F15" s="541"/>
      <c r="G15" s="612">
        <f>SUM(G16:G16)</f>
        <v>18176</v>
      </c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</row>
    <row r="16" spans="1:72" s="611" customFormat="1" ht="15.75" customHeight="1" x14ac:dyDescent="0.2">
      <c r="A16" s="529"/>
      <c r="B16" s="613"/>
      <c r="C16" s="531"/>
      <c r="D16" s="531"/>
      <c r="E16" s="531" t="s">
        <v>500</v>
      </c>
      <c r="F16" s="541" t="s">
        <v>321</v>
      </c>
      <c r="G16" s="542">
        <f>6300+1461+2140+3935+683+1698+1959</f>
        <v>18176</v>
      </c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</row>
    <row r="17" spans="1:72" s="611" customFormat="1" ht="15.75" customHeight="1" x14ac:dyDescent="0.2">
      <c r="A17" s="543"/>
      <c r="B17" s="544"/>
      <c r="C17" s="545"/>
      <c r="D17" s="532"/>
      <c r="E17" s="532"/>
      <c r="F17" s="534"/>
      <c r="G17" s="546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</row>
    <row r="18" spans="1:72" s="611" customFormat="1" ht="15.75" customHeight="1" x14ac:dyDescent="0.2">
      <c r="A18" s="529"/>
      <c r="B18" s="530"/>
      <c r="C18" s="531"/>
      <c r="D18" s="531"/>
      <c r="E18" s="532" t="s">
        <v>111</v>
      </c>
      <c r="F18" s="533">
        <f>12806+18072+15851+15093+22120+19181+37648+19309+29928</f>
        <v>190008</v>
      </c>
      <c r="G18" s="534" t="s">
        <v>321</v>
      </c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</row>
    <row r="19" spans="1:72" s="611" customFormat="1" ht="20.25" customHeight="1" x14ac:dyDescent="0.2">
      <c r="A19" s="535" t="s">
        <v>68</v>
      </c>
      <c r="B19" s="547" t="s">
        <v>501</v>
      </c>
      <c r="C19" s="531" t="s">
        <v>502</v>
      </c>
      <c r="D19" s="531" t="s">
        <v>503</v>
      </c>
      <c r="E19" s="537" t="s">
        <v>321</v>
      </c>
      <c r="F19" s="538" t="s">
        <v>321</v>
      </c>
      <c r="G19" s="539">
        <f>SUM(G21)</f>
        <v>190008</v>
      </c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</row>
    <row r="20" spans="1:72" s="611" customFormat="1" ht="10.5" customHeight="1" x14ac:dyDescent="0.2">
      <c r="A20" s="529"/>
      <c r="B20" s="540"/>
      <c r="C20" s="531"/>
      <c r="D20" s="531"/>
      <c r="E20" s="531"/>
      <c r="F20" s="541"/>
      <c r="G20" s="612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</row>
    <row r="21" spans="1:72" s="611" customFormat="1" ht="15.75" customHeight="1" x14ac:dyDescent="0.2">
      <c r="A21" s="529"/>
      <c r="B21" s="613" t="s">
        <v>499</v>
      </c>
      <c r="C21" s="531"/>
      <c r="D21" s="531"/>
      <c r="E21" s="531"/>
      <c r="F21" s="541"/>
      <c r="G21" s="612">
        <f>SUM(G22:G24)</f>
        <v>190008</v>
      </c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8"/>
      <c r="BT21" s="118"/>
    </row>
    <row r="22" spans="1:72" s="611" customFormat="1" ht="15.75" customHeight="1" x14ac:dyDescent="0.2">
      <c r="A22" s="529"/>
      <c r="B22" s="530"/>
      <c r="C22" s="531"/>
      <c r="D22" s="531"/>
      <c r="E22" s="531" t="s">
        <v>500</v>
      </c>
      <c r="F22" s="541" t="s">
        <v>321</v>
      </c>
      <c r="G22" s="542">
        <f>12439+17903+15395+14738+21702+18455+36830+19037+29155</f>
        <v>185654</v>
      </c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118"/>
      <c r="BQ22" s="118"/>
      <c r="BR22" s="118"/>
      <c r="BS22" s="118"/>
      <c r="BT22" s="118"/>
    </row>
    <row r="23" spans="1:72" s="611" customFormat="1" ht="15.75" customHeight="1" x14ac:dyDescent="0.2">
      <c r="A23" s="529"/>
      <c r="B23" s="530"/>
      <c r="C23" s="531"/>
      <c r="D23" s="531"/>
      <c r="E23" s="531" t="s">
        <v>504</v>
      </c>
      <c r="F23" s="541" t="s">
        <v>321</v>
      </c>
      <c r="G23" s="542">
        <f>306+141+380+296+348+606+682+227+644</f>
        <v>3630</v>
      </c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</row>
    <row r="24" spans="1:72" s="611" customFormat="1" ht="15.75" customHeight="1" x14ac:dyDescent="0.2">
      <c r="A24" s="529"/>
      <c r="B24" s="530"/>
      <c r="C24" s="548"/>
      <c r="D24" s="531"/>
      <c r="E24" s="531" t="s">
        <v>505</v>
      </c>
      <c r="F24" s="541" t="s">
        <v>321</v>
      </c>
      <c r="G24" s="542">
        <f>61+28+76+59+70+120+136+45+129</f>
        <v>724</v>
      </c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c r="BT24" s="118"/>
    </row>
    <row r="25" spans="1:72" s="611" customFormat="1" ht="15.75" customHeight="1" x14ac:dyDescent="0.2">
      <c r="A25" s="543"/>
      <c r="B25" s="544"/>
      <c r="C25" s="545"/>
      <c r="D25" s="532"/>
      <c r="E25" s="532"/>
      <c r="F25" s="534"/>
      <c r="G25" s="546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c r="BT25" s="118"/>
    </row>
    <row r="26" spans="1:72" s="611" customFormat="1" ht="15.75" customHeight="1" x14ac:dyDescent="0.2">
      <c r="A26" s="529"/>
      <c r="B26" s="530"/>
      <c r="C26" s="531"/>
      <c r="D26" s="531"/>
      <c r="E26" s="532" t="s">
        <v>111</v>
      </c>
      <c r="F26" s="533">
        <f>7956+3060+2142+1530+4896+612+2754+3978+3366</f>
        <v>30294</v>
      </c>
      <c r="G26" s="534" t="s">
        <v>321</v>
      </c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c r="BT26" s="118"/>
    </row>
    <row r="27" spans="1:72" s="611" customFormat="1" ht="24" x14ac:dyDescent="0.2">
      <c r="A27" s="535" t="s">
        <v>70</v>
      </c>
      <c r="B27" s="536" t="s">
        <v>506</v>
      </c>
      <c r="C27" s="531" t="s">
        <v>507</v>
      </c>
      <c r="D27" s="531" t="s">
        <v>508</v>
      </c>
      <c r="E27" s="537" t="s">
        <v>321</v>
      </c>
      <c r="F27" s="538" t="s">
        <v>321</v>
      </c>
      <c r="G27" s="539">
        <f>SUM(G29)</f>
        <v>30294</v>
      </c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</row>
    <row r="28" spans="1:72" s="611" customFormat="1" ht="10.5" customHeight="1" x14ac:dyDescent="0.2">
      <c r="A28" s="529"/>
      <c r="B28" s="540"/>
      <c r="C28" s="531"/>
      <c r="D28" s="531"/>
      <c r="E28" s="531"/>
      <c r="F28" s="541"/>
      <c r="G28" s="612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8"/>
      <c r="BR28" s="118"/>
      <c r="BS28" s="118"/>
      <c r="BT28" s="118"/>
    </row>
    <row r="29" spans="1:72" s="611" customFormat="1" ht="15.75" customHeight="1" x14ac:dyDescent="0.2">
      <c r="A29" s="529"/>
      <c r="B29" s="613" t="s">
        <v>499</v>
      </c>
      <c r="C29" s="531"/>
      <c r="D29" s="531"/>
      <c r="E29" s="531"/>
      <c r="F29" s="541"/>
      <c r="G29" s="612">
        <f>SUM(G30:G32)</f>
        <v>30294</v>
      </c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  <c r="BB29" s="118"/>
      <c r="BC29" s="118"/>
      <c r="BD29" s="118"/>
      <c r="BE29" s="118"/>
      <c r="BF29" s="118"/>
      <c r="BG29" s="118"/>
      <c r="BH29" s="118"/>
      <c r="BI29" s="118"/>
      <c r="BJ29" s="118"/>
      <c r="BK29" s="118"/>
      <c r="BL29" s="118"/>
      <c r="BM29" s="118"/>
      <c r="BN29" s="118"/>
      <c r="BO29" s="118"/>
      <c r="BP29" s="118"/>
      <c r="BQ29" s="118"/>
      <c r="BR29" s="118"/>
      <c r="BS29" s="118"/>
      <c r="BT29" s="118"/>
    </row>
    <row r="30" spans="1:72" s="611" customFormat="1" ht="15.75" customHeight="1" x14ac:dyDescent="0.2">
      <c r="A30" s="529"/>
      <c r="B30" s="530"/>
      <c r="C30" s="531"/>
      <c r="D30" s="531"/>
      <c r="E30" s="531" t="s">
        <v>500</v>
      </c>
      <c r="F30" s="541" t="s">
        <v>321</v>
      </c>
      <c r="G30" s="542">
        <f>7800+3000+2100+1500+4800+600+2700+3900+3300</f>
        <v>29700</v>
      </c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  <c r="BB30" s="118"/>
      <c r="BC30" s="118"/>
      <c r="BD30" s="118"/>
      <c r="BE30" s="118"/>
      <c r="BF30" s="118"/>
      <c r="BG30" s="118"/>
      <c r="BH30" s="118"/>
      <c r="BI30" s="118"/>
      <c r="BJ30" s="118"/>
      <c r="BK30" s="118"/>
      <c r="BL30" s="118"/>
      <c r="BM30" s="118"/>
      <c r="BN30" s="118"/>
      <c r="BO30" s="118"/>
      <c r="BP30" s="118"/>
      <c r="BQ30" s="118"/>
      <c r="BR30" s="118"/>
      <c r="BS30" s="118"/>
      <c r="BT30" s="118"/>
    </row>
    <row r="31" spans="1:72" s="611" customFormat="1" ht="15.75" customHeight="1" x14ac:dyDescent="0.2">
      <c r="A31" s="529"/>
      <c r="B31" s="530"/>
      <c r="C31" s="531"/>
      <c r="D31" s="531"/>
      <c r="E31" s="531" t="s">
        <v>504</v>
      </c>
      <c r="F31" s="541" t="s">
        <v>321</v>
      </c>
      <c r="G31" s="542">
        <f>130+50+35+25+80+10+45+65+55</f>
        <v>495</v>
      </c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  <c r="BF31" s="118"/>
      <c r="BG31" s="118"/>
      <c r="BH31" s="118"/>
      <c r="BI31" s="118"/>
      <c r="BJ31" s="118"/>
      <c r="BK31" s="118"/>
      <c r="BL31" s="118"/>
      <c r="BM31" s="118"/>
      <c r="BN31" s="118"/>
      <c r="BO31" s="118"/>
      <c r="BP31" s="118"/>
      <c r="BQ31" s="118"/>
      <c r="BR31" s="118"/>
      <c r="BS31" s="118"/>
      <c r="BT31" s="118"/>
    </row>
    <row r="32" spans="1:72" s="611" customFormat="1" ht="15.75" customHeight="1" x14ac:dyDescent="0.2">
      <c r="A32" s="529"/>
      <c r="B32" s="530"/>
      <c r="C32" s="531"/>
      <c r="D32" s="531"/>
      <c r="E32" s="531" t="s">
        <v>505</v>
      </c>
      <c r="F32" s="541" t="s">
        <v>321</v>
      </c>
      <c r="G32" s="542">
        <f>26+10+7+5+16+2+9+13+11</f>
        <v>99</v>
      </c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  <c r="BJ32" s="118"/>
      <c r="BK32" s="118"/>
      <c r="BL32" s="118"/>
      <c r="BM32" s="118"/>
      <c r="BN32" s="118"/>
      <c r="BO32" s="118"/>
      <c r="BP32" s="118"/>
      <c r="BQ32" s="118"/>
      <c r="BR32" s="118"/>
      <c r="BS32" s="118"/>
      <c r="BT32" s="118"/>
    </row>
    <row r="33" spans="1:72" s="611" customFormat="1" ht="15.75" customHeight="1" x14ac:dyDescent="0.2">
      <c r="A33" s="543"/>
      <c r="B33" s="544"/>
      <c r="C33" s="545"/>
      <c r="D33" s="532"/>
      <c r="E33" s="532"/>
      <c r="F33" s="534"/>
      <c r="G33" s="546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8"/>
      <c r="BT33" s="118"/>
    </row>
    <row r="34" spans="1:72" s="611" customFormat="1" ht="15.75" customHeight="1" x14ac:dyDescent="0.2">
      <c r="A34" s="529"/>
      <c r="B34" s="530"/>
      <c r="C34" s="531"/>
      <c r="D34" s="531"/>
      <c r="E34" s="532" t="s">
        <v>111</v>
      </c>
      <c r="F34" s="533">
        <f>416+47920+42840+40544+37760+448+38960+256+20720+256+30320+256+9240+96+29360+208</f>
        <v>299600</v>
      </c>
      <c r="G34" s="534" t="s">
        <v>321</v>
      </c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</row>
    <row r="35" spans="1:72" s="611" customFormat="1" ht="25.5" customHeight="1" x14ac:dyDescent="0.2">
      <c r="A35" s="535" t="s">
        <v>71</v>
      </c>
      <c r="B35" s="536" t="s">
        <v>509</v>
      </c>
      <c r="C35" s="531" t="s">
        <v>510</v>
      </c>
      <c r="D35" s="531" t="s">
        <v>511</v>
      </c>
      <c r="E35" s="537" t="s">
        <v>321</v>
      </c>
      <c r="F35" s="538" t="s">
        <v>321</v>
      </c>
      <c r="G35" s="539">
        <f>SUM(G37)</f>
        <v>299600</v>
      </c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8"/>
      <c r="BR35" s="118"/>
      <c r="BS35" s="118"/>
      <c r="BT35" s="118"/>
    </row>
    <row r="36" spans="1:72" s="611" customFormat="1" ht="10.5" customHeight="1" x14ac:dyDescent="0.2">
      <c r="A36" s="529"/>
      <c r="B36" s="540"/>
      <c r="C36" s="531"/>
      <c r="D36" s="531"/>
      <c r="E36" s="531"/>
      <c r="F36" s="541"/>
      <c r="G36" s="612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E36" s="118"/>
      <c r="BF36" s="118"/>
      <c r="BG36" s="118"/>
      <c r="BH36" s="118"/>
      <c r="BI36" s="118"/>
      <c r="BJ36" s="118"/>
      <c r="BK36" s="118"/>
      <c r="BL36" s="118"/>
      <c r="BM36" s="118"/>
      <c r="BN36" s="118"/>
      <c r="BO36" s="118"/>
      <c r="BP36" s="118"/>
      <c r="BQ36" s="118"/>
      <c r="BR36" s="118"/>
      <c r="BS36" s="118"/>
      <c r="BT36" s="118"/>
    </row>
    <row r="37" spans="1:72" s="611" customFormat="1" ht="15.75" customHeight="1" x14ac:dyDescent="0.2">
      <c r="A37" s="529"/>
      <c r="B37" s="613" t="s">
        <v>499</v>
      </c>
      <c r="C37" s="531"/>
      <c r="D37" s="531"/>
      <c r="E37" s="531"/>
      <c r="F37" s="541"/>
      <c r="G37" s="612">
        <f>SUM(G38:G40)</f>
        <v>299600</v>
      </c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8"/>
      <c r="BT37" s="118"/>
    </row>
    <row r="38" spans="1:72" s="611" customFormat="1" ht="15.75" customHeight="1" x14ac:dyDescent="0.2">
      <c r="A38" s="529"/>
      <c r="B38" s="530"/>
      <c r="C38" s="531"/>
      <c r="D38" s="531"/>
      <c r="E38" s="531" t="s">
        <v>512</v>
      </c>
      <c r="F38" s="541" t="s">
        <v>321</v>
      </c>
      <c r="G38" s="542">
        <f>47920+42840+40000+37760+38960+51040+9240+29360</f>
        <v>297120</v>
      </c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</row>
    <row r="39" spans="1:72" s="611" customFormat="1" ht="15.75" customHeight="1" x14ac:dyDescent="0.2">
      <c r="A39" s="529"/>
      <c r="B39" s="530"/>
      <c r="C39" s="548"/>
      <c r="D39" s="531"/>
      <c r="E39" s="531" t="s">
        <v>504</v>
      </c>
      <c r="F39" s="541" t="s">
        <v>321</v>
      </c>
      <c r="G39" s="542">
        <f>347+453+374+213+213+213+173+80</f>
        <v>2066</v>
      </c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  <c r="BR39" s="118"/>
      <c r="BS39" s="118"/>
      <c r="BT39" s="118"/>
    </row>
    <row r="40" spans="1:72" s="611" customFormat="1" ht="15.75" customHeight="1" x14ac:dyDescent="0.2">
      <c r="A40" s="529"/>
      <c r="B40" s="530"/>
      <c r="C40" s="548"/>
      <c r="D40" s="531"/>
      <c r="E40" s="531" t="s">
        <v>505</v>
      </c>
      <c r="F40" s="541" t="s">
        <v>321</v>
      </c>
      <c r="G40" s="542">
        <f>69+91+74+43+43+43+35+16</f>
        <v>414</v>
      </c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  <c r="BR40" s="118"/>
      <c r="BS40" s="118"/>
      <c r="BT40" s="118"/>
    </row>
    <row r="41" spans="1:72" s="611" customFormat="1" ht="15.75" customHeight="1" x14ac:dyDescent="0.2">
      <c r="A41" s="543"/>
      <c r="B41" s="544"/>
      <c r="C41" s="545"/>
      <c r="D41" s="532"/>
      <c r="E41" s="532"/>
      <c r="F41" s="534"/>
      <c r="G41" s="546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c r="BT41" s="118"/>
    </row>
    <row r="42" spans="1:72" s="611" customFormat="1" ht="15.75" customHeight="1" x14ac:dyDescent="0.2">
      <c r="A42" s="529"/>
      <c r="B42" s="530"/>
      <c r="C42" s="531"/>
      <c r="D42" s="531"/>
      <c r="E42" s="532" t="s">
        <v>111</v>
      </c>
      <c r="F42" s="533">
        <f>237460+241690+210970+202330+184210+181840+167080+138000+124080</f>
        <v>1687660</v>
      </c>
      <c r="G42" s="534" t="s">
        <v>321</v>
      </c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</row>
    <row r="43" spans="1:72" s="611" customFormat="1" ht="23.25" customHeight="1" x14ac:dyDescent="0.2">
      <c r="A43" s="535" t="s">
        <v>73</v>
      </c>
      <c r="B43" s="536" t="s">
        <v>513</v>
      </c>
      <c r="C43" s="531" t="s">
        <v>510</v>
      </c>
      <c r="D43" s="531" t="s">
        <v>511</v>
      </c>
      <c r="E43" s="537" t="s">
        <v>321</v>
      </c>
      <c r="F43" s="538" t="s">
        <v>321</v>
      </c>
      <c r="G43" s="539">
        <f>SUM(G45,G48)</f>
        <v>1687660</v>
      </c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8"/>
      <c r="BT43" s="118"/>
    </row>
    <row r="44" spans="1:72" s="611" customFormat="1" ht="9.75" customHeight="1" x14ac:dyDescent="0.2">
      <c r="A44" s="529"/>
      <c r="B44" s="540"/>
      <c r="C44" s="531"/>
      <c r="D44" s="531"/>
      <c r="E44" s="531"/>
      <c r="F44" s="541"/>
      <c r="G44" s="612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118"/>
      <c r="BF44" s="118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</row>
    <row r="45" spans="1:72" s="611" customFormat="1" ht="25.5" customHeight="1" x14ac:dyDescent="0.2">
      <c r="A45" s="529"/>
      <c r="B45" s="614" t="s">
        <v>514</v>
      </c>
      <c r="C45" s="531"/>
      <c r="D45" s="531"/>
      <c r="E45" s="531"/>
      <c r="F45" s="541"/>
      <c r="G45" s="612">
        <f>SUM(G46:G46)</f>
        <v>1275158.67</v>
      </c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8"/>
      <c r="BF45" s="118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8"/>
      <c r="BT45" s="118"/>
    </row>
    <row r="46" spans="1:72" s="611" customFormat="1" ht="15.75" customHeight="1" x14ac:dyDescent="0.2">
      <c r="A46" s="529"/>
      <c r="B46" s="530"/>
      <c r="C46" s="531"/>
      <c r="D46" s="531"/>
      <c r="E46" s="531" t="s">
        <v>515</v>
      </c>
      <c r="F46" s="541" t="s">
        <v>321</v>
      </c>
      <c r="G46" s="542">
        <f>237460-62017.72+241690+210970-72469.91-59334.2+202330+184210-65376.08+181840-50582.89+167080-46032.2+138000-23863.03+124080-32825.3</f>
        <v>1275158.67</v>
      </c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18"/>
      <c r="BC46" s="118"/>
      <c r="BD46" s="118"/>
      <c r="BE46" s="118"/>
      <c r="BF46" s="118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c r="BT46" s="118"/>
    </row>
    <row r="47" spans="1:72" s="611" customFormat="1" ht="15.75" customHeight="1" x14ac:dyDescent="0.2">
      <c r="A47" s="543"/>
      <c r="B47" s="544"/>
      <c r="C47" s="545"/>
      <c r="D47" s="532"/>
      <c r="E47" s="532"/>
      <c r="F47" s="534"/>
      <c r="G47" s="546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118"/>
      <c r="BF47" s="118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c r="BT47" s="118"/>
    </row>
    <row r="48" spans="1:72" s="611" customFormat="1" ht="20.25" customHeight="1" x14ac:dyDescent="0.2">
      <c r="A48" s="529"/>
      <c r="B48" s="613" t="s">
        <v>162</v>
      </c>
      <c r="C48" s="531"/>
      <c r="D48" s="531"/>
      <c r="E48" s="531"/>
      <c r="F48" s="541"/>
      <c r="G48" s="612">
        <f>SUM(G49:G50)</f>
        <v>412501.33</v>
      </c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  <c r="AT48" s="118"/>
      <c r="AU48" s="118"/>
      <c r="AV48" s="118"/>
      <c r="AW48" s="118"/>
      <c r="AX48" s="118"/>
      <c r="AY48" s="118"/>
      <c r="AZ48" s="118"/>
      <c r="BA48" s="118"/>
      <c r="BB48" s="118"/>
      <c r="BC48" s="118"/>
      <c r="BD48" s="118"/>
      <c r="BE48" s="118"/>
      <c r="BF48" s="118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8"/>
      <c r="BT48" s="118"/>
    </row>
    <row r="49" spans="1:72" s="611" customFormat="1" ht="15.75" customHeight="1" x14ac:dyDescent="0.2">
      <c r="A49" s="529"/>
      <c r="B49" s="530"/>
      <c r="C49" s="548"/>
      <c r="D49" s="531"/>
      <c r="E49" s="531" t="s">
        <v>515</v>
      </c>
      <c r="F49" s="541" t="s">
        <v>321</v>
      </c>
      <c r="G49" s="542">
        <f>3103.38+3649.49+2630.32+4196.5+2825.95+2543.24+3283.75+2185.51</f>
        <v>24418.14</v>
      </c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</row>
    <row r="50" spans="1:72" s="611" customFormat="1" ht="15.75" customHeight="1" x14ac:dyDescent="0.2">
      <c r="A50" s="529"/>
      <c r="B50" s="530"/>
      <c r="C50" s="548"/>
      <c r="D50" s="531"/>
      <c r="E50" s="531" t="s">
        <v>516</v>
      </c>
      <c r="F50" s="541" t="s">
        <v>321</v>
      </c>
      <c r="G50" s="542">
        <f>58914.34+68820.42+56703.88+61179.58+47756.94+43488.96+20579.28+30639.79</f>
        <v>388083.19</v>
      </c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8"/>
      <c r="BR50" s="118"/>
      <c r="BS50" s="118"/>
      <c r="BT50" s="118"/>
    </row>
    <row r="51" spans="1:72" s="611" customFormat="1" ht="15.75" customHeight="1" x14ac:dyDescent="0.2">
      <c r="A51" s="543"/>
      <c r="B51" s="544"/>
      <c r="C51" s="545"/>
      <c r="D51" s="532"/>
      <c r="E51" s="532"/>
      <c r="F51" s="534"/>
      <c r="G51" s="546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  <c r="AS51" s="118"/>
      <c r="AT51" s="118"/>
      <c r="AU51" s="118"/>
      <c r="AV51" s="118"/>
      <c r="AW51" s="118"/>
      <c r="AX51" s="118"/>
      <c r="AY51" s="118"/>
      <c r="AZ51" s="118"/>
      <c r="BA51" s="118"/>
      <c r="BB51" s="118"/>
      <c r="BC51" s="118"/>
      <c r="BD51" s="118"/>
      <c r="BE51" s="118"/>
      <c r="BF51" s="118"/>
      <c r="BG51" s="118"/>
      <c r="BH51" s="118"/>
      <c r="BI51" s="118"/>
      <c r="BJ51" s="118"/>
      <c r="BK51" s="118"/>
      <c r="BL51" s="118"/>
      <c r="BM51" s="118"/>
      <c r="BN51" s="118"/>
      <c r="BO51" s="118"/>
      <c r="BP51" s="118"/>
      <c r="BQ51" s="118"/>
      <c r="BR51" s="118"/>
      <c r="BS51" s="118"/>
      <c r="BT51" s="118"/>
    </row>
    <row r="52" spans="1:72" s="611" customFormat="1" ht="15.75" customHeight="1" x14ac:dyDescent="0.2">
      <c r="A52" s="529"/>
      <c r="B52" s="530"/>
      <c r="C52" s="531"/>
      <c r="D52" s="531"/>
      <c r="E52" s="532" t="s">
        <v>111</v>
      </c>
      <c r="F52" s="533">
        <f>200+200+400</f>
        <v>800</v>
      </c>
      <c r="G52" s="534" t="s">
        <v>321</v>
      </c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  <c r="AS52" s="118"/>
      <c r="AT52" s="118"/>
      <c r="AU52" s="118"/>
      <c r="AV52" s="118"/>
      <c r="AW52" s="118"/>
      <c r="AX52" s="118"/>
      <c r="AY52" s="118"/>
      <c r="AZ52" s="118"/>
      <c r="BA52" s="118"/>
      <c r="BB52" s="118"/>
      <c r="BC52" s="118"/>
      <c r="BD52" s="118"/>
      <c r="BE52" s="118"/>
      <c r="BF52" s="118"/>
      <c r="BG52" s="118"/>
      <c r="BH52" s="118"/>
      <c r="BI52" s="118"/>
      <c r="BJ52" s="118"/>
      <c r="BK52" s="118"/>
      <c r="BL52" s="118"/>
      <c r="BM52" s="118"/>
      <c r="BN52" s="118"/>
      <c r="BO52" s="118"/>
      <c r="BP52" s="118"/>
      <c r="BQ52" s="118"/>
      <c r="BR52" s="118"/>
      <c r="BS52" s="118"/>
      <c r="BT52" s="118"/>
    </row>
    <row r="53" spans="1:72" s="611" customFormat="1" ht="51" customHeight="1" x14ac:dyDescent="0.2">
      <c r="A53" s="535" t="s">
        <v>75</v>
      </c>
      <c r="B53" s="536" t="s">
        <v>517</v>
      </c>
      <c r="C53" s="531" t="s">
        <v>507</v>
      </c>
      <c r="D53" s="531" t="s">
        <v>518</v>
      </c>
      <c r="E53" s="537" t="s">
        <v>321</v>
      </c>
      <c r="F53" s="538" t="s">
        <v>321</v>
      </c>
      <c r="G53" s="539">
        <f>SUM(G55)</f>
        <v>800</v>
      </c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  <c r="AS53" s="118"/>
      <c r="AT53" s="118"/>
      <c r="AU53" s="118"/>
      <c r="AV53" s="118"/>
      <c r="AW53" s="118"/>
      <c r="AX53" s="118"/>
      <c r="AY53" s="118"/>
      <c r="AZ53" s="118"/>
      <c r="BA53" s="118"/>
      <c r="BB53" s="118"/>
      <c r="BC53" s="118"/>
      <c r="BD53" s="118"/>
      <c r="BE53" s="118"/>
      <c r="BF53" s="118"/>
      <c r="BG53" s="118"/>
      <c r="BH53" s="118"/>
      <c r="BI53" s="118"/>
      <c r="BJ53" s="118"/>
      <c r="BK53" s="118"/>
      <c r="BL53" s="118"/>
      <c r="BM53" s="118"/>
      <c r="BN53" s="118"/>
      <c r="BO53" s="118"/>
      <c r="BP53" s="118"/>
      <c r="BQ53" s="118"/>
      <c r="BR53" s="118"/>
      <c r="BS53" s="118"/>
      <c r="BT53" s="118"/>
    </row>
    <row r="54" spans="1:72" s="611" customFormat="1" ht="15.75" customHeight="1" x14ac:dyDescent="0.2">
      <c r="A54" s="529"/>
      <c r="B54" s="530"/>
      <c r="C54" s="548"/>
      <c r="D54" s="531"/>
      <c r="E54" s="531"/>
      <c r="F54" s="541"/>
      <c r="G54" s="542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</row>
    <row r="55" spans="1:72" s="611" customFormat="1" ht="24" customHeight="1" x14ac:dyDescent="0.2">
      <c r="A55" s="529"/>
      <c r="B55" s="614" t="s">
        <v>284</v>
      </c>
      <c r="C55" s="531"/>
      <c r="D55" s="531"/>
      <c r="E55" s="531"/>
      <c r="F55" s="541"/>
      <c r="G55" s="612">
        <f>SUM(G56:G58)</f>
        <v>800</v>
      </c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</row>
    <row r="56" spans="1:72" s="611" customFormat="1" ht="15.75" customHeight="1" x14ac:dyDescent="0.2">
      <c r="A56" s="529"/>
      <c r="B56" s="530"/>
      <c r="C56" s="548"/>
      <c r="D56" s="531"/>
      <c r="E56" s="531" t="s">
        <v>515</v>
      </c>
      <c r="F56" s="541" t="s">
        <v>321</v>
      </c>
      <c r="G56" s="542">
        <f>110+100+175+55</f>
        <v>440</v>
      </c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</row>
    <row r="57" spans="1:72" s="611" customFormat="1" ht="15.75" customHeight="1" x14ac:dyDescent="0.2">
      <c r="A57" s="529"/>
      <c r="B57" s="530"/>
      <c r="C57" s="548"/>
      <c r="D57" s="531"/>
      <c r="E57" s="531" t="s">
        <v>504</v>
      </c>
      <c r="F57" s="541" t="s">
        <v>321</v>
      </c>
      <c r="G57" s="542">
        <f>80+60+140+40</f>
        <v>320</v>
      </c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  <c r="BO57" s="118"/>
      <c r="BP57" s="118"/>
      <c r="BQ57" s="118"/>
      <c r="BR57" s="118"/>
      <c r="BS57" s="118"/>
      <c r="BT57" s="118"/>
    </row>
    <row r="58" spans="1:72" s="611" customFormat="1" ht="15.75" customHeight="1" x14ac:dyDescent="0.2">
      <c r="A58" s="529"/>
      <c r="B58" s="530"/>
      <c r="C58" s="548"/>
      <c r="D58" s="531"/>
      <c r="E58" s="531" t="s">
        <v>505</v>
      </c>
      <c r="F58" s="541" t="s">
        <v>321</v>
      </c>
      <c r="G58" s="542">
        <f>10+40+85-95</f>
        <v>40</v>
      </c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  <c r="AS58" s="118"/>
      <c r="AT58" s="118"/>
      <c r="AU58" s="118"/>
      <c r="AV58" s="118"/>
      <c r="AW58" s="118"/>
      <c r="AX58" s="118"/>
      <c r="AY58" s="118"/>
      <c r="AZ58" s="118"/>
      <c r="BA58" s="118"/>
      <c r="BB58" s="118"/>
      <c r="BC58" s="118"/>
      <c r="BD58" s="118"/>
      <c r="BE58" s="118"/>
      <c r="BF58" s="118"/>
      <c r="BG58" s="118"/>
      <c r="BH58" s="118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</row>
    <row r="59" spans="1:72" s="611" customFormat="1" ht="15.75" customHeight="1" x14ac:dyDescent="0.2">
      <c r="A59" s="543"/>
      <c r="B59" s="544"/>
      <c r="C59" s="545"/>
      <c r="D59" s="532"/>
      <c r="E59" s="532"/>
      <c r="F59" s="534"/>
      <c r="G59" s="546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  <c r="AS59" s="118"/>
      <c r="AT59" s="118"/>
      <c r="AU59" s="118"/>
      <c r="AV59" s="118"/>
      <c r="AW59" s="118"/>
      <c r="AX59" s="118"/>
      <c r="AY59" s="118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118"/>
      <c r="BM59" s="118"/>
      <c r="BN59" s="118"/>
      <c r="BO59" s="118"/>
      <c r="BP59" s="118"/>
      <c r="BQ59" s="118"/>
      <c r="BR59" s="118"/>
      <c r="BS59" s="118"/>
      <c r="BT59" s="118"/>
    </row>
    <row r="60" spans="1:72" s="611" customFormat="1" ht="15.75" customHeight="1" x14ac:dyDescent="0.2">
      <c r="A60" s="529"/>
      <c r="B60" s="530"/>
      <c r="C60" s="531"/>
      <c r="D60" s="531"/>
      <c r="E60" s="532" t="s">
        <v>111</v>
      </c>
      <c r="F60" s="533">
        <f>795+795+594+694+694+695+553+623+3576</f>
        <v>9019</v>
      </c>
      <c r="G60" s="534" t="s">
        <v>321</v>
      </c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  <c r="AS60" s="118"/>
      <c r="AT60" s="118"/>
      <c r="AU60" s="118"/>
      <c r="AV60" s="118"/>
      <c r="AW60" s="118"/>
      <c r="AX60" s="118"/>
      <c r="AY60" s="118"/>
      <c r="AZ60" s="118"/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118"/>
      <c r="BM60" s="118"/>
      <c r="BN60" s="118"/>
      <c r="BO60" s="118"/>
      <c r="BP60" s="118"/>
      <c r="BQ60" s="118"/>
      <c r="BR60" s="118"/>
      <c r="BS60" s="118"/>
      <c r="BT60" s="118"/>
    </row>
    <row r="61" spans="1:72" s="611" customFormat="1" ht="15.75" customHeight="1" x14ac:dyDescent="0.2">
      <c r="A61" s="535" t="s">
        <v>77</v>
      </c>
      <c r="B61" s="547" t="s">
        <v>519</v>
      </c>
      <c r="C61" s="531" t="s">
        <v>217</v>
      </c>
      <c r="D61" s="531" t="s">
        <v>520</v>
      </c>
      <c r="E61" s="537" t="s">
        <v>321</v>
      </c>
      <c r="F61" s="538" t="s">
        <v>321</v>
      </c>
      <c r="G61" s="539">
        <f>SUM(G63)</f>
        <v>9019</v>
      </c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P61" s="118"/>
      <c r="AQ61" s="118"/>
      <c r="AR61" s="118"/>
      <c r="AS61" s="118"/>
      <c r="AT61" s="118"/>
      <c r="AU61" s="118"/>
      <c r="AV61" s="118"/>
      <c r="AW61" s="118"/>
      <c r="AX61" s="118"/>
      <c r="AY61" s="118"/>
      <c r="AZ61" s="118"/>
      <c r="BA61" s="118"/>
      <c r="BB61" s="118"/>
      <c r="BC61" s="118"/>
      <c r="BD61" s="118"/>
      <c r="BE61" s="118"/>
      <c r="BF61" s="118"/>
      <c r="BG61" s="118"/>
      <c r="BH61" s="118"/>
      <c r="BI61" s="118"/>
      <c r="BJ61" s="118"/>
      <c r="BK61" s="118"/>
      <c r="BL61" s="118"/>
      <c r="BM61" s="118"/>
      <c r="BN61" s="118"/>
      <c r="BO61" s="118"/>
      <c r="BP61" s="118"/>
      <c r="BQ61" s="118"/>
      <c r="BR61" s="118"/>
      <c r="BS61" s="118"/>
      <c r="BT61" s="118"/>
    </row>
    <row r="62" spans="1:72" s="611" customFormat="1" ht="15.75" customHeight="1" x14ac:dyDescent="0.2">
      <c r="A62" s="529"/>
      <c r="B62" s="540"/>
      <c r="C62" s="531"/>
      <c r="D62" s="531"/>
      <c r="E62" s="531"/>
      <c r="F62" s="541"/>
      <c r="G62" s="612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  <c r="BO62" s="118"/>
      <c r="BP62" s="118"/>
      <c r="BQ62" s="118"/>
      <c r="BR62" s="118"/>
      <c r="BS62" s="118"/>
      <c r="BT62" s="118"/>
    </row>
    <row r="63" spans="1:72" s="611" customFormat="1" ht="15.75" customHeight="1" x14ac:dyDescent="0.2">
      <c r="A63" s="529"/>
      <c r="B63" s="613" t="s">
        <v>225</v>
      </c>
      <c r="C63" s="531"/>
      <c r="D63" s="531"/>
      <c r="E63" s="531"/>
      <c r="F63" s="541"/>
      <c r="G63" s="612">
        <f>SUM(G64:G64)</f>
        <v>9019</v>
      </c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18"/>
      <c r="AN63" s="118"/>
      <c r="AO63" s="118"/>
      <c r="AP63" s="118"/>
      <c r="AQ63" s="118"/>
      <c r="AR63" s="118"/>
      <c r="AS63" s="118"/>
      <c r="AT63" s="118"/>
      <c r="AU63" s="118"/>
      <c r="AV63" s="118"/>
      <c r="AW63" s="118"/>
      <c r="AX63" s="118"/>
      <c r="AY63" s="118"/>
      <c r="AZ63" s="118"/>
      <c r="BA63" s="118"/>
      <c r="BB63" s="118"/>
      <c r="BC63" s="118"/>
      <c r="BD63" s="118"/>
      <c r="BE63" s="118"/>
      <c r="BF63" s="118"/>
      <c r="BG63" s="118"/>
      <c r="BH63" s="118"/>
      <c r="BI63" s="118"/>
      <c r="BJ63" s="118"/>
      <c r="BK63" s="118"/>
      <c r="BL63" s="118"/>
      <c r="BM63" s="118"/>
      <c r="BN63" s="118"/>
      <c r="BO63" s="118"/>
      <c r="BP63" s="118"/>
      <c r="BQ63" s="118"/>
      <c r="BR63" s="118"/>
      <c r="BS63" s="118"/>
      <c r="BT63" s="118"/>
    </row>
    <row r="64" spans="1:72" s="611" customFormat="1" ht="15.75" customHeight="1" x14ac:dyDescent="0.2">
      <c r="A64" s="529"/>
      <c r="B64" s="530"/>
      <c r="C64" s="548"/>
      <c r="D64" s="531"/>
      <c r="E64" s="531" t="s">
        <v>500</v>
      </c>
      <c r="F64" s="541" t="s">
        <v>321</v>
      </c>
      <c r="G64" s="542">
        <f>795+795+594+694+694+695+553+623+3576</f>
        <v>9019</v>
      </c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  <c r="AS64" s="118"/>
      <c r="AT64" s="118"/>
      <c r="AU64" s="118"/>
      <c r="AV64" s="118"/>
      <c r="AW64" s="118"/>
      <c r="AX64" s="118"/>
      <c r="AY64" s="118"/>
      <c r="AZ64" s="118"/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118"/>
      <c r="BM64" s="118"/>
      <c r="BN64" s="118"/>
      <c r="BO64" s="118"/>
      <c r="BP64" s="118"/>
      <c r="BQ64" s="118"/>
      <c r="BR64" s="118"/>
      <c r="BS64" s="118"/>
      <c r="BT64" s="118"/>
    </row>
    <row r="65" spans="1:72" s="611" customFormat="1" ht="15.75" customHeight="1" x14ac:dyDescent="0.2">
      <c r="A65" s="543"/>
      <c r="B65" s="544"/>
      <c r="C65" s="545"/>
      <c r="D65" s="532"/>
      <c r="E65" s="532"/>
      <c r="F65" s="534"/>
      <c r="G65" s="546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/>
      <c r="AL65" s="118"/>
      <c r="AM65" s="118"/>
      <c r="AN65" s="118"/>
      <c r="AO65" s="118"/>
      <c r="AP65" s="118"/>
      <c r="AQ65" s="118"/>
      <c r="AR65" s="118"/>
      <c r="AS65" s="118"/>
      <c r="AT65" s="118"/>
      <c r="AU65" s="118"/>
      <c r="AV65" s="118"/>
      <c r="AW65" s="118"/>
      <c r="AX65" s="118"/>
      <c r="AY65" s="118"/>
      <c r="AZ65" s="118"/>
      <c r="BA65" s="118"/>
      <c r="BB65" s="118"/>
      <c r="BC65" s="118"/>
      <c r="BD65" s="118"/>
      <c r="BE65" s="118"/>
      <c r="BF65" s="118"/>
      <c r="BG65" s="118"/>
      <c r="BH65" s="118"/>
      <c r="BI65" s="118"/>
      <c r="BJ65" s="118"/>
      <c r="BK65" s="118"/>
      <c r="BL65" s="118"/>
      <c r="BM65" s="118"/>
      <c r="BN65" s="118"/>
      <c r="BO65" s="118"/>
      <c r="BP65" s="118"/>
      <c r="BQ65" s="118"/>
      <c r="BR65" s="118"/>
      <c r="BS65" s="118"/>
      <c r="BT65" s="118"/>
    </row>
    <row r="66" spans="1:72" s="611" customFormat="1" ht="15.75" customHeight="1" x14ac:dyDescent="0.2">
      <c r="A66" s="529"/>
      <c r="B66" s="530"/>
      <c r="C66" s="531"/>
      <c r="D66" s="531"/>
      <c r="E66" s="532" t="s">
        <v>111</v>
      </c>
      <c r="F66" s="533">
        <f>452.4+422.24+400.77+197.21+259.95+172.55+154.38+78.44+61.63+97.11+49.3+285.34+84.42+24.65+84.66</f>
        <v>2825.0500000000006</v>
      </c>
      <c r="G66" s="534" t="s">
        <v>321</v>
      </c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18"/>
      <c r="AN66" s="118"/>
      <c r="AO66" s="118"/>
      <c r="AP66" s="118"/>
      <c r="AQ66" s="118"/>
      <c r="AR66" s="118"/>
      <c r="AS66" s="118"/>
      <c r="AT66" s="118"/>
      <c r="AU66" s="118"/>
      <c r="AV66" s="118"/>
      <c r="AW66" s="118"/>
      <c r="AX66" s="118"/>
      <c r="AY66" s="118"/>
      <c r="AZ66" s="118"/>
      <c r="BA66" s="118"/>
      <c r="BB66" s="118"/>
      <c r="BC66" s="118"/>
      <c r="BD66" s="118"/>
      <c r="BE66" s="118"/>
      <c r="BF66" s="118"/>
      <c r="BG66" s="118"/>
      <c r="BH66" s="118"/>
      <c r="BI66" s="118"/>
      <c r="BJ66" s="118"/>
      <c r="BK66" s="118"/>
      <c r="BL66" s="118"/>
      <c r="BM66" s="118"/>
      <c r="BN66" s="118"/>
      <c r="BO66" s="118"/>
      <c r="BP66" s="118"/>
      <c r="BQ66" s="118"/>
      <c r="BR66" s="118"/>
      <c r="BS66" s="118"/>
      <c r="BT66" s="118"/>
    </row>
    <row r="67" spans="1:72" s="611" customFormat="1" ht="60.75" customHeight="1" x14ac:dyDescent="0.2">
      <c r="A67" s="535" t="s">
        <v>79</v>
      </c>
      <c r="B67" s="547" t="s">
        <v>521</v>
      </c>
      <c r="C67" s="531" t="s">
        <v>522</v>
      </c>
      <c r="D67" s="531" t="s">
        <v>523</v>
      </c>
      <c r="E67" s="537" t="s">
        <v>321</v>
      </c>
      <c r="F67" s="538" t="s">
        <v>321</v>
      </c>
      <c r="G67" s="539">
        <f>SUM(G69)</f>
        <v>1950.4100000000003</v>
      </c>
      <c r="H67" s="118"/>
      <c r="I67" s="59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8"/>
      <c r="AL67" s="118"/>
      <c r="AM67" s="118"/>
      <c r="AN67" s="118"/>
      <c r="AO67" s="118"/>
      <c r="AP67" s="118"/>
      <c r="AQ67" s="118"/>
      <c r="AR67" s="118"/>
      <c r="AS67" s="118"/>
      <c r="AT67" s="118"/>
      <c r="AU67" s="118"/>
      <c r="AV67" s="118"/>
      <c r="AW67" s="118"/>
      <c r="AX67" s="118"/>
      <c r="AY67" s="118"/>
      <c r="AZ67" s="118"/>
      <c r="BA67" s="118"/>
      <c r="BB67" s="118"/>
      <c r="BC67" s="118"/>
      <c r="BD67" s="118"/>
      <c r="BE67" s="118"/>
      <c r="BF67" s="118"/>
      <c r="BG67" s="118"/>
      <c r="BH67" s="118"/>
      <c r="BI67" s="118"/>
      <c r="BJ67" s="118"/>
      <c r="BK67" s="118"/>
      <c r="BL67" s="118"/>
      <c r="BM67" s="118"/>
      <c r="BN67" s="118"/>
      <c r="BO67" s="118"/>
      <c r="BP67" s="118"/>
      <c r="BQ67" s="118"/>
      <c r="BR67" s="118"/>
      <c r="BS67" s="118"/>
      <c r="BT67" s="118"/>
    </row>
    <row r="68" spans="1:72" s="611" customFormat="1" ht="15.75" customHeight="1" x14ac:dyDescent="0.2">
      <c r="A68" s="529"/>
      <c r="B68" s="540"/>
      <c r="C68" s="531"/>
      <c r="D68" s="531"/>
      <c r="E68" s="531"/>
      <c r="F68" s="541"/>
      <c r="G68" s="612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  <c r="AO68" s="118"/>
      <c r="AP68" s="118"/>
      <c r="AQ68" s="118"/>
      <c r="AR68" s="118"/>
      <c r="AS68" s="118"/>
      <c r="AT68" s="118"/>
      <c r="AU68" s="118"/>
      <c r="AV68" s="118"/>
      <c r="AW68" s="118"/>
      <c r="AX68" s="118"/>
      <c r="AY68" s="118"/>
      <c r="AZ68" s="118"/>
      <c r="BA68" s="118"/>
      <c r="BB68" s="118"/>
      <c r="BC68" s="118"/>
      <c r="BD68" s="118"/>
      <c r="BE68" s="118"/>
      <c r="BF68" s="118"/>
      <c r="BG68" s="118"/>
      <c r="BH68" s="118"/>
      <c r="BI68" s="118"/>
      <c r="BJ68" s="118"/>
      <c r="BK68" s="118"/>
      <c r="BL68" s="118"/>
      <c r="BM68" s="118"/>
      <c r="BN68" s="118"/>
      <c r="BO68" s="118"/>
      <c r="BP68" s="118"/>
      <c r="BQ68" s="118"/>
      <c r="BR68" s="118"/>
      <c r="BS68" s="118"/>
      <c r="BT68" s="118"/>
    </row>
    <row r="69" spans="1:72" s="611" customFormat="1" ht="15.75" customHeight="1" x14ac:dyDescent="0.2">
      <c r="A69" s="529"/>
      <c r="B69" s="613" t="s">
        <v>273</v>
      </c>
      <c r="C69" s="531"/>
      <c r="D69" s="531"/>
      <c r="E69" s="531"/>
      <c r="F69" s="541"/>
      <c r="G69" s="612">
        <f>SUM(G70:G71)</f>
        <v>1950.4100000000003</v>
      </c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18"/>
      <c r="AN69" s="118"/>
      <c r="AO69" s="118"/>
      <c r="AP69" s="118"/>
      <c r="AQ69" s="118"/>
      <c r="AR69" s="118"/>
      <c r="AS69" s="118"/>
      <c r="AT69" s="118"/>
      <c r="AU69" s="118"/>
      <c r="AV69" s="118"/>
      <c r="AW69" s="118"/>
      <c r="AX69" s="118"/>
      <c r="AY69" s="118"/>
      <c r="AZ69" s="118"/>
      <c r="BA69" s="118"/>
      <c r="BB69" s="118"/>
      <c r="BC69" s="118"/>
      <c r="BD69" s="118"/>
      <c r="BE69" s="118"/>
      <c r="BF69" s="118"/>
      <c r="BG69" s="118"/>
      <c r="BH69" s="118"/>
      <c r="BI69" s="118"/>
      <c r="BJ69" s="118"/>
      <c r="BK69" s="118"/>
      <c r="BL69" s="118"/>
      <c r="BM69" s="118"/>
      <c r="BN69" s="118"/>
      <c r="BO69" s="118"/>
      <c r="BP69" s="118"/>
      <c r="BQ69" s="118"/>
      <c r="BR69" s="118"/>
      <c r="BS69" s="118"/>
      <c r="BT69" s="118"/>
    </row>
    <row r="70" spans="1:72" s="611" customFormat="1" ht="15.75" customHeight="1" x14ac:dyDescent="0.2">
      <c r="A70" s="529"/>
      <c r="B70" s="613"/>
      <c r="C70" s="548"/>
      <c r="D70" s="531"/>
      <c r="E70" s="531" t="s">
        <v>504</v>
      </c>
      <c r="F70" s="541" t="s">
        <v>321</v>
      </c>
      <c r="G70" s="542">
        <f>334.98+164.84+129.04+361.5+117.07+122.37+400.43</f>
        <v>1630.2300000000002</v>
      </c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  <c r="AS70" s="118"/>
      <c r="AT70" s="118"/>
      <c r="AU70" s="118"/>
      <c r="AV70" s="118"/>
      <c r="AW70" s="118"/>
      <c r="AX70" s="118"/>
      <c r="AY70" s="118"/>
      <c r="AZ70" s="118"/>
      <c r="BA70" s="118"/>
      <c r="BB70" s="118"/>
      <c r="BC70" s="118"/>
      <c r="BD70" s="118"/>
      <c r="BE70" s="118"/>
      <c r="BF70" s="118"/>
      <c r="BG70" s="118"/>
      <c r="BH70" s="118"/>
      <c r="BI70" s="118"/>
      <c r="BJ70" s="118"/>
      <c r="BK70" s="118"/>
      <c r="BL70" s="118"/>
      <c r="BM70" s="118"/>
      <c r="BN70" s="118"/>
      <c r="BO70" s="118"/>
      <c r="BP70" s="118"/>
      <c r="BQ70" s="118"/>
      <c r="BR70" s="118"/>
      <c r="BS70" s="118"/>
      <c r="BT70" s="118"/>
    </row>
    <row r="71" spans="1:72" s="611" customFormat="1" ht="15.75" customHeight="1" x14ac:dyDescent="0.2">
      <c r="A71" s="529"/>
      <c r="B71" s="613"/>
      <c r="C71" s="548"/>
      <c r="D71" s="531"/>
      <c r="E71" s="531" t="s">
        <v>505</v>
      </c>
      <c r="F71" s="541" t="s">
        <v>321</v>
      </c>
      <c r="G71" s="542">
        <f>65.79+32.37+25.34+71+23+24.04+78.64</f>
        <v>320.18</v>
      </c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8"/>
      <c r="AL71" s="118"/>
      <c r="AM71" s="118"/>
      <c r="AN71" s="118"/>
      <c r="AO71" s="118"/>
      <c r="AP71" s="118"/>
      <c r="AQ71" s="118"/>
      <c r="AR71" s="118"/>
      <c r="AS71" s="118"/>
      <c r="AT71" s="118"/>
      <c r="AU71" s="118"/>
      <c r="AV71" s="118"/>
      <c r="AW71" s="118"/>
      <c r="AX71" s="118"/>
      <c r="AY71" s="118"/>
      <c r="AZ71" s="118"/>
      <c r="BA71" s="118"/>
      <c r="BB71" s="118"/>
      <c r="BC71" s="118"/>
      <c r="BD71" s="118"/>
      <c r="BE71" s="118"/>
      <c r="BF71" s="118"/>
      <c r="BG71" s="118"/>
      <c r="BH71" s="118"/>
      <c r="BI71" s="118"/>
      <c r="BJ71" s="118"/>
      <c r="BK71" s="118"/>
      <c r="BL71" s="118"/>
      <c r="BM71" s="118"/>
      <c r="BN71" s="118"/>
      <c r="BO71" s="118"/>
      <c r="BP71" s="118"/>
      <c r="BQ71" s="118"/>
      <c r="BR71" s="118"/>
      <c r="BS71" s="118"/>
      <c r="BT71" s="118"/>
    </row>
    <row r="72" spans="1:72" s="611" customFormat="1" ht="15.75" customHeight="1" x14ac:dyDescent="0.2">
      <c r="A72" s="543"/>
      <c r="B72" s="615"/>
      <c r="C72" s="545"/>
      <c r="D72" s="532"/>
      <c r="E72" s="532"/>
      <c r="F72" s="534"/>
      <c r="G72" s="616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18"/>
      <c r="AN72" s="118"/>
      <c r="AO72" s="118"/>
      <c r="AP72" s="118"/>
      <c r="AQ72" s="118"/>
      <c r="AR72" s="118"/>
      <c r="AS72" s="118"/>
      <c r="AT72" s="118"/>
      <c r="AU72" s="118"/>
      <c r="AV72" s="118"/>
      <c r="AW72" s="118"/>
      <c r="AX72" s="118"/>
      <c r="AY72" s="118"/>
      <c r="AZ72" s="118"/>
      <c r="BA72" s="118"/>
      <c r="BB72" s="118"/>
      <c r="BC72" s="118"/>
      <c r="BD72" s="118"/>
      <c r="BE72" s="118"/>
      <c r="BF72" s="118"/>
      <c r="BG72" s="118"/>
      <c r="BH72" s="118"/>
      <c r="BI72" s="118"/>
      <c r="BJ72" s="118"/>
      <c r="BK72" s="118"/>
      <c r="BL72" s="118"/>
      <c r="BM72" s="118"/>
      <c r="BN72" s="118"/>
      <c r="BO72" s="118"/>
      <c r="BP72" s="118"/>
      <c r="BQ72" s="118"/>
      <c r="BR72" s="118"/>
      <c r="BS72" s="118"/>
      <c r="BT72" s="118"/>
    </row>
    <row r="73" spans="1:72" s="611" customFormat="1" ht="15.75" customHeight="1" x14ac:dyDescent="0.2">
      <c r="A73" s="529"/>
      <c r="B73" s="530"/>
      <c r="C73" s="531" t="s">
        <v>524</v>
      </c>
      <c r="D73" s="531" t="s">
        <v>108</v>
      </c>
      <c r="E73" s="532" t="s">
        <v>111</v>
      </c>
      <c r="F73" s="533">
        <f>190930+49631+274881+56959+220565+52228+242513+58646+236005+62821+240460+63735+232920+56430+233620+54905+53021+232936</f>
        <v>2613206</v>
      </c>
      <c r="G73" s="534" t="s">
        <v>321</v>
      </c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8"/>
      <c r="AL73" s="118"/>
      <c r="AM73" s="118"/>
      <c r="AN73" s="118"/>
      <c r="AO73" s="118"/>
      <c r="AP73" s="118"/>
      <c r="AQ73" s="118"/>
      <c r="AR73" s="118"/>
      <c r="AS73" s="118"/>
      <c r="AT73" s="118"/>
      <c r="AU73" s="118"/>
      <c r="AV73" s="118"/>
      <c r="AW73" s="118"/>
      <c r="AX73" s="118"/>
      <c r="AY73" s="118"/>
      <c r="AZ73" s="118"/>
      <c r="BA73" s="118"/>
      <c r="BB73" s="118"/>
      <c r="BC73" s="118"/>
      <c r="BD73" s="118"/>
      <c r="BE73" s="118"/>
      <c r="BF73" s="118"/>
      <c r="BG73" s="118"/>
      <c r="BH73" s="118"/>
      <c r="BI73" s="118"/>
      <c r="BJ73" s="118"/>
      <c r="BK73" s="118"/>
      <c r="BL73" s="118"/>
      <c r="BM73" s="118"/>
      <c r="BN73" s="118"/>
      <c r="BO73" s="118"/>
      <c r="BP73" s="118"/>
      <c r="BQ73" s="118"/>
      <c r="BR73" s="118"/>
      <c r="BS73" s="118"/>
      <c r="BT73" s="118"/>
    </row>
    <row r="74" spans="1:72" s="611" customFormat="1" ht="23.25" customHeight="1" x14ac:dyDescent="0.2">
      <c r="A74" s="535" t="s">
        <v>81</v>
      </c>
      <c r="B74" s="536" t="s">
        <v>525</v>
      </c>
      <c r="C74" s="531"/>
      <c r="D74" s="531"/>
      <c r="E74" s="537" t="s">
        <v>321</v>
      </c>
      <c r="F74" s="538" t="s">
        <v>321</v>
      </c>
      <c r="G74" s="539">
        <f>SUM(G76,G86,G91,G100,G109,G114,G123,G132,G141,G146,G155,G160,G169,G174)</f>
        <v>2767408.45</v>
      </c>
      <c r="H74" s="118"/>
      <c r="I74" s="59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8"/>
      <c r="AL74" s="118"/>
      <c r="AM74" s="118"/>
      <c r="AN74" s="118"/>
      <c r="AO74" s="118"/>
      <c r="AP74" s="118"/>
      <c r="AQ74" s="118"/>
      <c r="AR74" s="118"/>
      <c r="AS74" s="118"/>
      <c r="AT74" s="118"/>
      <c r="AU74" s="118"/>
      <c r="AV74" s="118"/>
      <c r="AW74" s="118"/>
      <c r="AX74" s="118"/>
      <c r="AY74" s="118"/>
      <c r="AZ74" s="118"/>
      <c r="BA74" s="118"/>
      <c r="BB74" s="118"/>
      <c r="BC74" s="118"/>
      <c r="BD74" s="118"/>
      <c r="BE74" s="118"/>
      <c r="BF74" s="118"/>
      <c r="BG74" s="118"/>
      <c r="BH74" s="118"/>
      <c r="BI74" s="118"/>
      <c r="BJ74" s="118"/>
      <c r="BK74" s="118"/>
      <c r="BL74" s="118"/>
      <c r="BM74" s="118"/>
      <c r="BN74" s="118"/>
      <c r="BO74" s="118"/>
      <c r="BP74" s="118"/>
      <c r="BQ74" s="118"/>
      <c r="BR74" s="118"/>
      <c r="BS74" s="118"/>
      <c r="BT74" s="118"/>
    </row>
    <row r="75" spans="1:72" s="611" customFormat="1" ht="15.75" customHeight="1" x14ac:dyDescent="0.2">
      <c r="A75" s="529"/>
      <c r="B75" s="530"/>
      <c r="C75" s="548"/>
      <c r="D75" s="531"/>
      <c r="E75" s="531"/>
      <c r="F75" s="541"/>
      <c r="G75" s="542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  <c r="AL75" s="118"/>
      <c r="AM75" s="118"/>
      <c r="AN75" s="118"/>
      <c r="AO75" s="118"/>
      <c r="AP75" s="118"/>
      <c r="AQ75" s="118"/>
      <c r="AR75" s="118"/>
      <c r="AS75" s="118"/>
      <c r="AT75" s="118"/>
      <c r="AU75" s="118"/>
      <c r="AV75" s="118"/>
      <c r="AW75" s="118"/>
      <c r="AX75" s="118"/>
      <c r="AY75" s="118"/>
      <c r="AZ75" s="118"/>
      <c r="BA75" s="118"/>
      <c r="BB75" s="118"/>
      <c r="BC75" s="118"/>
      <c r="BD75" s="118"/>
      <c r="BE75" s="118"/>
      <c r="BF75" s="118"/>
      <c r="BG75" s="118"/>
      <c r="BH75" s="118"/>
      <c r="BI75" s="118"/>
      <c r="BJ75" s="118"/>
      <c r="BK75" s="118"/>
      <c r="BL75" s="118"/>
      <c r="BM75" s="118"/>
      <c r="BN75" s="118"/>
      <c r="BO75" s="118"/>
      <c r="BP75" s="118"/>
      <c r="BQ75" s="118"/>
      <c r="BR75" s="118"/>
      <c r="BS75" s="118"/>
      <c r="BT75" s="118"/>
    </row>
    <row r="76" spans="1:72" s="611" customFormat="1" ht="15.75" customHeight="1" x14ac:dyDescent="0.2">
      <c r="A76" s="529"/>
      <c r="B76" s="613" t="s">
        <v>19</v>
      </c>
      <c r="C76" s="531" t="s">
        <v>526</v>
      </c>
      <c r="D76" s="531" t="s">
        <v>527</v>
      </c>
      <c r="E76" s="537" t="s">
        <v>321</v>
      </c>
      <c r="F76" s="538" t="s">
        <v>321</v>
      </c>
      <c r="G76" s="539">
        <f>SUM(G78)</f>
        <v>1730195.59</v>
      </c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  <c r="AL76" s="118"/>
      <c r="AM76" s="118"/>
      <c r="AN76" s="118"/>
      <c r="AO76" s="118"/>
      <c r="AP76" s="118"/>
      <c r="AQ76" s="118"/>
      <c r="AR76" s="118"/>
      <c r="AS76" s="118"/>
      <c r="AT76" s="118"/>
      <c r="AU76" s="118"/>
      <c r="AV76" s="118"/>
      <c r="AW76" s="118"/>
      <c r="AX76" s="118"/>
      <c r="AY76" s="118"/>
      <c r="AZ76" s="118"/>
      <c r="BA76" s="118"/>
      <c r="BB76" s="118"/>
      <c r="BC76" s="118"/>
      <c r="BD76" s="118"/>
      <c r="BE76" s="118"/>
      <c r="BF76" s="118"/>
      <c r="BG76" s="118"/>
      <c r="BH76" s="118"/>
      <c r="BI76" s="118"/>
      <c r="BJ76" s="118"/>
      <c r="BK76" s="118"/>
      <c r="BL76" s="118"/>
      <c r="BM76" s="118"/>
      <c r="BN76" s="118"/>
      <c r="BO76" s="118"/>
      <c r="BP76" s="118"/>
      <c r="BQ76" s="118"/>
      <c r="BR76" s="118"/>
      <c r="BS76" s="118"/>
      <c r="BT76" s="118"/>
    </row>
    <row r="77" spans="1:72" s="611" customFormat="1" ht="15.75" customHeight="1" x14ac:dyDescent="0.2">
      <c r="A77" s="529"/>
      <c r="B77" s="530"/>
      <c r="C77" s="548"/>
      <c r="D77" s="531"/>
      <c r="E77" s="531"/>
      <c r="F77" s="541"/>
      <c r="G77" s="542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  <c r="AL77" s="118"/>
      <c r="AM77" s="118"/>
      <c r="AN77" s="118"/>
      <c r="AO77" s="118"/>
      <c r="AP77" s="118"/>
      <c r="AQ77" s="118"/>
      <c r="AR77" s="118"/>
      <c r="AS77" s="118"/>
      <c r="AT77" s="118"/>
      <c r="AU77" s="118"/>
      <c r="AV77" s="118"/>
      <c r="AW77" s="118"/>
      <c r="AX77" s="118"/>
      <c r="AY77" s="118"/>
      <c r="AZ77" s="118"/>
      <c r="BA77" s="118"/>
      <c r="BB77" s="118"/>
      <c r="BC77" s="118"/>
      <c r="BD77" s="118"/>
      <c r="BE77" s="118"/>
      <c r="BF77" s="118"/>
      <c r="BG77" s="118"/>
      <c r="BH77" s="118"/>
      <c r="BI77" s="118"/>
      <c r="BJ77" s="118"/>
      <c r="BK77" s="118"/>
      <c r="BL77" s="118"/>
      <c r="BM77" s="118"/>
      <c r="BN77" s="118"/>
      <c r="BO77" s="118"/>
      <c r="BP77" s="118"/>
      <c r="BQ77" s="118"/>
      <c r="BR77" s="118"/>
      <c r="BS77" s="118"/>
      <c r="BT77" s="118"/>
    </row>
    <row r="78" spans="1:72" s="611" customFormat="1" ht="15.75" customHeight="1" x14ac:dyDescent="0.2">
      <c r="A78" s="529"/>
      <c r="B78" s="530"/>
      <c r="C78" s="548"/>
      <c r="D78" s="531"/>
      <c r="E78" s="531"/>
      <c r="F78" s="541"/>
      <c r="G78" s="612">
        <f>SUM(G79:G84)</f>
        <v>1730195.59</v>
      </c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8"/>
      <c r="AL78" s="118"/>
      <c r="AM78" s="118"/>
      <c r="AN78" s="118"/>
      <c r="AO78" s="118"/>
      <c r="AP78" s="118"/>
      <c r="AQ78" s="118"/>
      <c r="AR78" s="118"/>
      <c r="AS78" s="118"/>
      <c r="AT78" s="118"/>
      <c r="AU78" s="118"/>
      <c r="AV78" s="118"/>
      <c r="AW78" s="118"/>
      <c r="AX78" s="118"/>
      <c r="AY78" s="118"/>
      <c r="AZ78" s="118"/>
      <c r="BA78" s="118"/>
      <c r="BB78" s="118"/>
      <c r="BC78" s="118"/>
      <c r="BD78" s="118"/>
      <c r="BE78" s="118"/>
      <c r="BF78" s="118"/>
      <c r="BG78" s="118"/>
      <c r="BH78" s="118"/>
      <c r="BI78" s="118"/>
      <c r="BJ78" s="118"/>
      <c r="BK78" s="118"/>
      <c r="BL78" s="118"/>
      <c r="BM78" s="118"/>
      <c r="BN78" s="118"/>
      <c r="BO78" s="118"/>
      <c r="BP78" s="118"/>
      <c r="BQ78" s="118"/>
      <c r="BR78" s="118"/>
      <c r="BS78" s="118"/>
      <c r="BT78" s="118"/>
    </row>
    <row r="79" spans="1:72" s="611" customFormat="1" ht="15.75" customHeight="1" x14ac:dyDescent="0.2">
      <c r="A79" s="529"/>
      <c r="B79" s="530"/>
      <c r="C79" s="548"/>
      <c r="D79" s="531"/>
      <c r="E79" s="531" t="s">
        <v>41</v>
      </c>
      <c r="F79" s="541" t="s">
        <v>321</v>
      </c>
      <c r="G79" s="542">
        <f>117182.98+128847+162969+174526+362860+166130.29+24823</f>
        <v>1137338.27</v>
      </c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8"/>
      <c r="AL79" s="118"/>
      <c r="AM79" s="118"/>
      <c r="AN79" s="118"/>
      <c r="AO79" s="118"/>
      <c r="AP79" s="118"/>
      <c r="AQ79" s="118"/>
      <c r="AR79" s="118"/>
      <c r="AS79" s="118"/>
      <c r="AT79" s="118"/>
      <c r="AU79" s="118"/>
      <c r="AV79" s="118"/>
      <c r="AW79" s="118"/>
      <c r="AX79" s="118"/>
      <c r="AY79" s="118"/>
      <c r="AZ79" s="118"/>
      <c r="BA79" s="118"/>
      <c r="BB79" s="118"/>
      <c r="BC79" s="118"/>
      <c r="BD79" s="118"/>
      <c r="BE79" s="118"/>
      <c r="BF79" s="118"/>
      <c r="BG79" s="118"/>
      <c r="BH79" s="118"/>
      <c r="BI79" s="118"/>
      <c r="BJ79" s="118"/>
      <c r="BK79" s="118"/>
      <c r="BL79" s="118"/>
      <c r="BM79" s="118"/>
      <c r="BN79" s="118"/>
      <c r="BO79" s="118"/>
      <c r="BP79" s="118"/>
      <c r="BQ79" s="118"/>
      <c r="BR79" s="118"/>
      <c r="BS79" s="118"/>
      <c r="BT79" s="118"/>
    </row>
    <row r="80" spans="1:72" s="611" customFormat="1" ht="15.75" customHeight="1" x14ac:dyDescent="0.2">
      <c r="A80" s="529"/>
      <c r="B80" s="530"/>
      <c r="C80" s="548"/>
      <c r="D80" s="531"/>
      <c r="E80" s="531" t="s">
        <v>515</v>
      </c>
      <c r="F80" s="541" t="s">
        <v>321</v>
      </c>
      <c r="G80" s="542">
        <f>14507-2971</f>
        <v>11536</v>
      </c>
      <c r="H80" s="118"/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8"/>
      <c r="AL80" s="118"/>
      <c r="AM80" s="118"/>
      <c r="AN80" s="118"/>
      <c r="AO80" s="118"/>
      <c r="AP80" s="118"/>
      <c r="AQ80" s="118"/>
      <c r="AR80" s="118"/>
      <c r="AS80" s="118"/>
      <c r="AT80" s="118"/>
      <c r="AU80" s="118"/>
      <c r="AV80" s="118"/>
      <c r="AW80" s="118"/>
      <c r="AX80" s="118"/>
      <c r="AY80" s="118"/>
      <c r="AZ80" s="118"/>
      <c r="BA80" s="118"/>
      <c r="BB80" s="118"/>
      <c r="BC80" s="118"/>
      <c r="BD80" s="118"/>
      <c r="BE80" s="118"/>
      <c r="BF80" s="118"/>
      <c r="BG80" s="118"/>
      <c r="BH80" s="118"/>
      <c r="BI80" s="118"/>
      <c r="BJ80" s="118"/>
      <c r="BK80" s="118"/>
      <c r="BL80" s="118"/>
      <c r="BM80" s="118"/>
      <c r="BN80" s="118"/>
      <c r="BO80" s="118"/>
      <c r="BP80" s="118"/>
      <c r="BQ80" s="118"/>
      <c r="BR80" s="118"/>
      <c r="BS80" s="118"/>
      <c r="BT80" s="118"/>
    </row>
    <row r="81" spans="1:72" s="611" customFormat="1" ht="15.75" customHeight="1" x14ac:dyDescent="0.2">
      <c r="A81" s="529"/>
      <c r="B81" s="530"/>
      <c r="C81" s="548"/>
      <c r="D81" s="531"/>
      <c r="E81" s="531" t="s">
        <v>504</v>
      </c>
      <c r="F81" s="541" t="s">
        <v>321</v>
      </c>
      <c r="G81" s="542">
        <f>10800</f>
        <v>10800</v>
      </c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  <c r="AL81" s="118"/>
      <c r="AM81" s="118"/>
      <c r="AN81" s="118"/>
      <c r="AO81" s="118"/>
      <c r="AP81" s="118"/>
      <c r="AQ81" s="118"/>
      <c r="AR81" s="118"/>
      <c r="AS81" s="118"/>
      <c r="AT81" s="118"/>
      <c r="AU81" s="118"/>
      <c r="AV81" s="118"/>
      <c r="AW81" s="118"/>
      <c r="AX81" s="118"/>
      <c r="AY81" s="118"/>
      <c r="AZ81" s="118"/>
      <c r="BA81" s="118"/>
      <c r="BB81" s="118"/>
      <c r="BC81" s="118"/>
      <c r="BD81" s="118"/>
      <c r="BE81" s="118"/>
      <c r="BF81" s="118"/>
      <c r="BG81" s="118"/>
      <c r="BH81" s="118"/>
      <c r="BI81" s="118"/>
      <c r="BJ81" s="118"/>
      <c r="BK81" s="118"/>
      <c r="BL81" s="118"/>
      <c r="BM81" s="118"/>
      <c r="BN81" s="118"/>
      <c r="BO81" s="118"/>
      <c r="BP81" s="118"/>
      <c r="BQ81" s="118"/>
      <c r="BR81" s="118"/>
      <c r="BS81" s="118"/>
      <c r="BT81" s="118"/>
    </row>
    <row r="82" spans="1:72" s="611" customFormat="1" ht="15.75" customHeight="1" x14ac:dyDescent="0.2">
      <c r="A82" s="529"/>
      <c r="B82" s="530"/>
      <c r="C82" s="548"/>
      <c r="D82" s="531"/>
      <c r="E82" s="531" t="s">
        <v>528</v>
      </c>
      <c r="F82" s="541" t="s">
        <v>321</v>
      </c>
      <c r="G82" s="542">
        <f>148065+158540+131624-98198-142934+2783.77+131210</f>
        <v>331090.77</v>
      </c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  <c r="AL82" s="118"/>
      <c r="AM82" s="118"/>
      <c r="AN82" s="118"/>
      <c r="AO82" s="118"/>
      <c r="AP82" s="118"/>
      <c r="AQ82" s="118"/>
      <c r="AR82" s="118"/>
      <c r="AS82" s="118"/>
      <c r="AT82" s="118"/>
      <c r="AU82" s="118"/>
      <c r="AV82" s="118"/>
      <c r="AW82" s="118"/>
      <c r="AX82" s="118"/>
      <c r="AY82" s="118"/>
      <c r="AZ82" s="118"/>
      <c r="BA82" s="118"/>
      <c r="BB82" s="118"/>
      <c r="BC82" s="118"/>
      <c r="BD82" s="118"/>
      <c r="BE82" s="118"/>
      <c r="BF82" s="118"/>
      <c r="BG82" s="118"/>
      <c r="BH82" s="118"/>
      <c r="BI82" s="118"/>
      <c r="BJ82" s="118"/>
      <c r="BK82" s="118"/>
      <c r="BL82" s="118"/>
      <c r="BM82" s="118"/>
      <c r="BN82" s="118"/>
      <c r="BO82" s="118"/>
      <c r="BP82" s="118"/>
      <c r="BQ82" s="118"/>
      <c r="BR82" s="118"/>
      <c r="BS82" s="118"/>
      <c r="BT82" s="118"/>
    </row>
    <row r="83" spans="1:72" s="611" customFormat="1" ht="15.75" customHeight="1" x14ac:dyDescent="0.2">
      <c r="A83" s="529"/>
      <c r="B83" s="530"/>
      <c r="C83" s="548"/>
      <c r="D83" s="531"/>
      <c r="E83" s="531" t="s">
        <v>505</v>
      </c>
      <c r="F83" s="541" t="s">
        <v>321</v>
      </c>
      <c r="G83" s="542">
        <f>36187.09+38748.72+34808.8-26465-41283+522.94+27004</f>
        <v>69523.55</v>
      </c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  <c r="AL83" s="118"/>
      <c r="AM83" s="118"/>
      <c r="AN83" s="118"/>
      <c r="AO83" s="118"/>
      <c r="AP83" s="118"/>
      <c r="AQ83" s="118"/>
      <c r="AR83" s="118"/>
      <c r="AS83" s="118"/>
      <c r="AT83" s="118"/>
      <c r="AU83" s="118"/>
      <c r="AV83" s="118"/>
      <c r="AW83" s="118"/>
      <c r="AX83" s="118"/>
      <c r="AY83" s="118"/>
      <c r="AZ83" s="118"/>
      <c r="BA83" s="118"/>
      <c r="BB83" s="118"/>
      <c r="BC83" s="118"/>
      <c r="BD83" s="118"/>
      <c r="BE83" s="118"/>
      <c r="BF83" s="118"/>
      <c r="BG83" s="118"/>
      <c r="BH83" s="118"/>
      <c r="BI83" s="118"/>
      <c r="BJ83" s="118"/>
      <c r="BK83" s="118"/>
      <c r="BL83" s="118"/>
      <c r="BM83" s="118"/>
      <c r="BN83" s="118"/>
      <c r="BO83" s="118"/>
      <c r="BP83" s="118"/>
      <c r="BQ83" s="118"/>
      <c r="BR83" s="118"/>
      <c r="BS83" s="118"/>
      <c r="BT83" s="118"/>
    </row>
    <row r="84" spans="1:72" s="611" customFormat="1" ht="15.75" customHeight="1" x14ac:dyDescent="0.2">
      <c r="A84" s="529"/>
      <c r="B84" s="530"/>
      <c r="C84" s="548"/>
      <c r="D84" s="531"/>
      <c r="E84" s="531" t="s">
        <v>516</v>
      </c>
      <c r="F84" s="541" t="s">
        <v>321</v>
      </c>
      <c r="G84" s="542">
        <f>173137+3000-6230</f>
        <v>169907</v>
      </c>
      <c r="H84" s="118"/>
      <c r="I84" s="118"/>
      <c r="J84" s="118"/>
      <c r="K84" s="118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  <c r="AL84" s="118"/>
      <c r="AM84" s="118"/>
      <c r="AN84" s="118"/>
      <c r="AO84" s="118"/>
      <c r="AP84" s="118"/>
      <c r="AQ84" s="118"/>
      <c r="AR84" s="118"/>
      <c r="AS84" s="118"/>
      <c r="AT84" s="118"/>
      <c r="AU84" s="118"/>
      <c r="AV84" s="118"/>
      <c r="AW84" s="118"/>
      <c r="AX84" s="118"/>
      <c r="AY84" s="118"/>
      <c r="AZ84" s="118"/>
      <c r="BA84" s="118"/>
      <c r="BB84" s="118"/>
      <c r="BC84" s="118"/>
      <c r="BD84" s="118"/>
      <c r="BE84" s="118"/>
      <c r="BF84" s="118"/>
      <c r="BG84" s="118"/>
      <c r="BH84" s="118"/>
      <c r="BI84" s="118"/>
      <c r="BJ84" s="118"/>
      <c r="BK84" s="118"/>
      <c r="BL84" s="118"/>
      <c r="BM84" s="118"/>
      <c r="BN84" s="118"/>
      <c r="BO84" s="118"/>
      <c r="BP84" s="118"/>
      <c r="BQ84" s="118"/>
      <c r="BR84" s="118"/>
      <c r="BS84" s="118"/>
      <c r="BT84" s="118"/>
    </row>
    <row r="85" spans="1:72" s="611" customFormat="1" ht="12" customHeight="1" x14ac:dyDescent="0.2">
      <c r="A85" s="543"/>
      <c r="B85" s="544"/>
      <c r="C85" s="545"/>
      <c r="D85" s="532"/>
      <c r="E85" s="532"/>
      <c r="F85" s="534"/>
      <c r="G85" s="546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  <c r="AS85" s="118"/>
      <c r="AT85" s="118"/>
      <c r="AU85" s="118"/>
      <c r="AV85" s="118"/>
      <c r="AW85" s="118"/>
      <c r="AX85" s="118"/>
      <c r="AY85" s="118"/>
      <c r="AZ85" s="118"/>
      <c r="BA85" s="118"/>
      <c r="BB85" s="118"/>
      <c r="BC85" s="118"/>
      <c r="BD85" s="118"/>
      <c r="BE85" s="118"/>
      <c r="BF85" s="118"/>
      <c r="BG85" s="118"/>
      <c r="BH85" s="118"/>
      <c r="BI85" s="118"/>
      <c r="BJ85" s="118"/>
      <c r="BK85" s="118"/>
      <c r="BL85" s="118"/>
      <c r="BM85" s="118"/>
      <c r="BN85" s="118"/>
      <c r="BO85" s="118"/>
      <c r="BP85" s="118"/>
      <c r="BQ85" s="118"/>
      <c r="BR85" s="118"/>
      <c r="BS85" s="118"/>
      <c r="BT85" s="118"/>
    </row>
    <row r="86" spans="1:72" s="611" customFormat="1" ht="21.75" customHeight="1" x14ac:dyDescent="0.2">
      <c r="A86" s="529"/>
      <c r="B86" s="613" t="s">
        <v>185</v>
      </c>
      <c r="C86" s="531" t="s">
        <v>526</v>
      </c>
      <c r="D86" s="531" t="s">
        <v>527</v>
      </c>
      <c r="E86" s="532" t="s">
        <v>321</v>
      </c>
      <c r="F86" s="534" t="s">
        <v>321</v>
      </c>
      <c r="G86" s="533">
        <f>SUM(G88)</f>
        <v>11715.54</v>
      </c>
      <c r="H86" s="118"/>
      <c r="I86" s="118"/>
      <c r="J86" s="118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  <c r="AS86" s="118"/>
      <c r="AT86" s="118"/>
      <c r="AU86" s="118"/>
      <c r="AV86" s="118"/>
      <c r="AW86" s="118"/>
      <c r="AX86" s="118"/>
      <c r="AY86" s="118"/>
      <c r="AZ86" s="118"/>
      <c r="BA86" s="118"/>
      <c r="BB86" s="118"/>
      <c r="BC86" s="118"/>
      <c r="BD86" s="118"/>
      <c r="BE86" s="118"/>
      <c r="BF86" s="118"/>
      <c r="BG86" s="118"/>
      <c r="BH86" s="118"/>
      <c r="BI86" s="118"/>
      <c r="BJ86" s="118"/>
      <c r="BK86" s="118"/>
      <c r="BL86" s="118"/>
      <c r="BM86" s="118"/>
      <c r="BN86" s="118"/>
      <c r="BO86" s="118"/>
      <c r="BP86" s="118"/>
      <c r="BQ86" s="118"/>
      <c r="BR86" s="118"/>
      <c r="BS86" s="118"/>
      <c r="BT86" s="118"/>
    </row>
    <row r="87" spans="1:72" s="611" customFormat="1" ht="15.75" customHeight="1" x14ac:dyDescent="0.2">
      <c r="A87" s="529"/>
      <c r="B87" s="530"/>
      <c r="C87" s="548"/>
      <c r="D87" s="531"/>
      <c r="E87" s="531"/>
      <c r="F87" s="541"/>
      <c r="G87" s="542"/>
      <c r="H87" s="118"/>
      <c r="I87" s="118"/>
      <c r="J87" s="118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  <c r="AL87" s="118"/>
      <c r="AM87" s="118"/>
      <c r="AN87" s="118"/>
      <c r="AO87" s="118"/>
      <c r="AP87" s="118"/>
      <c r="AQ87" s="118"/>
      <c r="AR87" s="118"/>
      <c r="AS87" s="118"/>
      <c r="AT87" s="118"/>
      <c r="AU87" s="118"/>
      <c r="AV87" s="118"/>
      <c r="AW87" s="118"/>
      <c r="AX87" s="118"/>
      <c r="AY87" s="118"/>
      <c r="AZ87" s="118"/>
      <c r="BA87" s="118"/>
      <c r="BB87" s="118"/>
      <c r="BC87" s="118"/>
      <c r="BD87" s="118"/>
      <c r="BE87" s="118"/>
      <c r="BF87" s="118"/>
      <c r="BG87" s="118"/>
      <c r="BH87" s="118"/>
      <c r="BI87" s="118"/>
      <c r="BJ87" s="118"/>
      <c r="BK87" s="118"/>
      <c r="BL87" s="118"/>
      <c r="BM87" s="118"/>
      <c r="BN87" s="118"/>
      <c r="BO87" s="118"/>
      <c r="BP87" s="118"/>
      <c r="BQ87" s="118"/>
      <c r="BR87" s="118"/>
      <c r="BS87" s="118"/>
      <c r="BT87" s="118"/>
    </row>
    <row r="88" spans="1:72" s="611" customFormat="1" ht="15.75" customHeight="1" x14ac:dyDescent="0.2">
      <c r="A88" s="529"/>
      <c r="B88" s="530"/>
      <c r="C88" s="548"/>
      <c r="D88" s="531"/>
      <c r="E88" s="531"/>
      <c r="F88" s="541"/>
      <c r="G88" s="612">
        <f>SUM(G89)</f>
        <v>11715.54</v>
      </c>
      <c r="H88" s="118"/>
      <c r="I88" s="118"/>
      <c r="J88" s="118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  <c r="AS88" s="118"/>
      <c r="AT88" s="118"/>
      <c r="AU88" s="118"/>
      <c r="AV88" s="118"/>
      <c r="AW88" s="118"/>
      <c r="AX88" s="118"/>
      <c r="AY88" s="118"/>
      <c r="AZ88" s="118"/>
      <c r="BA88" s="118"/>
      <c r="BB88" s="118"/>
      <c r="BC88" s="118"/>
      <c r="BD88" s="118"/>
      <c r="BE88" s="118"/>
      <c r="BF88" s="118"/>
      <c r="BG88" s="118"/>
      <c r="BH88" s="118"/>
      <c r="BI88" s="118"/>
      <c r="BJ88" s="118"/>
      <c r="BK88" s="118"/>
      <c r="BL88" s="118"/>
      <c r="BM88" s="118"/>
      <c r="BN88" s="118"/>
      <c r="BO88" s="118"/>
      <c r="BP88" s="118"/>
      <c r="BQ88" s="118"/>
      <c r="BR88" s="118"/>
      <c r="BS88" s="118"/>
      <c r="BT88" s="118"/>
    </row>
    <row r="89" spans="1:72" s="611" customFormat="1" ht="15.75" customHeight="1" x14ac:dyDescent="0.2">
      <c r="A89" s="529"/>
      <c r="B89" s="530"/>
      <c r="C89" s="548"/>
      <c r="D89" s="531"/>
      <c r="E89" s="531" t="s">
        <v>192</v>
      </c>
      <c r="F89" s="541" t="s">
        <v>321</v>
      </c>
      <c r="G89" s="542">
        <f>1182.91+1343.84+1213.79+1344+1300+1344+1300+1344+1343</f>
        <v>11715.54</v>
      </c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18"/>
      <c r="AN89" s="118"/>
      <c r="AO89" s="118"/>
      <c r="AP89" s="118"/>
      <c r="AQ89" s="118"/>
      <c r="AR89" s="118"/>
      <c r="AS89" s="118"/>
      <c r="AT89" s="118"/>
      <c r="AU89" s="118"/>
      <c r="AV89" s="118"/>
      <c r="AW89" s="118"/>
      <c r="AX89" s="118"/>
      <c r="AY89" s="118"/>
      <c r="AZ89" s="118"/>
      <c r="BA89" s="118"/>
      <c r="BB89" s="118"/>
      <c r="BC89" s="118"/>
      <c r="BD89" s="118"/>
      <c r="BE89" s="118"/>
      <c r="BF89" s="118"/>
      <c r="BG89" s="118"/>
      <c r="BH89" s="118"/>
      <c r="BI89" s="118"/>
      <c r="BJ89" s="118"/>
      <c r="BK89" s="118"/>
      <c r="BL89" s="118"/>
      <c r="BM89" s="118"/>
      <c r="BN89" s="118"/>
      <c r="BO89" s="118"/>
      <c r="BP89" s="118"/>
      <c r="BQ89" s="118"/>
      <c r="BR89" s="118"/>
      <c r="BS89" s="118"/>
      <c r="BT89" s="118"/>
    </row>
    <row r="90" spans="1:72" s="611" customFormat="1" ht="12" customHeight="1" x14ac:dyDescent="0.2">
      <c r="A90" s="529"/>
      <c r="B90" s="530"/>
      <c r="C90" s="548"/>
      <c r="D90" s="531"/>
      <c r="E90" s="532"/>
      <c r="F90" s="534"/>
      <c r="G90" s="546"/>
      <c r="H90" s="118"/>
      <c r="I90" s="118"/>
      <c r="J90" s="118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  <c r="AS90" s="118"/>
      <c r="AT90" s="118"/>
      <c r="AU90" s="118"/>
      <c r="AV90" s="118"/>
      <c r="AW90" s="118"/>
      <c r="AX90" s="118"/>
      <c r="AY90" s="118"/>
      <c r="AZ90" s="118"/>
      <c r="BA90" s="118"/>
      <c r="BB90" s="118"/>
      <c r="BC90" s="118"/>
      <c r="BD90" s="118"/>
      <c r="BE90" s="118"/>
      <c r="BF90" s="118"/>
      <c r="BG90" s="118"/>
      <c r="BH90" s="118"/>
      <c r="BI90" s="118"/>
      <c r="BJ90" s="118"/>
      <c r="BK90" s="118"/>
      <c r="BL90" s="118"/>
      <c r="BM90" s="118"/>
      <c r="BN90" s="118"/>
      <c r="BO90" s="118"/>
      <c r="BP90" s="118"/>
      <c r="BQ90" s="118"/>
      <c r="BR90" s="118"/>
      <c r="BS90" s="118"/>
      <c r="BT90" s="118"/>
    </row>
    <row r="91" spans="1:72" s="611" customFormat="1" ht="19.5" customHeight="1" x14ac:dyDescent="0.2">
      <c r="A91" s="529"/>
      <c r="B91" s="613" t="s">
        <v>19</v>
      </c>
      <c r="C91" s="531" t="s">
        <v>526</v>
      </c>
      <c r="D91" s="531" t="s">
        <v>529</v>
      </c>
      <c r="E91" s="532" t="s">
        <v>321</v>
      </c>
      <c r="F91" s="534" t="s">
        <v>321</v>
      </c>
      <c r="G91" s="533">
        <f>SUM(G93)</f>
        <v>74731.5</v>
      </c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8"/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8"/>
      <c r="BR91" s="118"/>
      <c r="BS91" s="118"/>
      <c r="BT91" s="118"/>
    </row>
    <row r="92" spans="1:72" s="611" customFormat="1" ht="15.75" customHeight="1" x14ac:dyDescent="0.2">
      <c r="A92" s="529"/>
      <c r="B92" s="530"/>
      <c r="C92" s="548"/>
      <c r="D92" s="531"/>
      <c r="E92" s="531"/>
      <c r="F92" s="541"/>
      <c r="G92" s="542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8"/>
      <c r="AL92" s="118"/>
      <c r="AM92" s="118"/>
      <c r="AN92" s="118"/>
      <c r="AO92" s="118"/>
      <c r="AP92" s="118"/>
      <c r="AQ92" s="118"/>
      <c r="AR92" s="118"/>
      <c r="AS92" s="118"/>
      <c r="AT92" s="118"/>
      <c r="AU92" s="118"/>
      <c r="AV92" s="118"/>
      <c r="AW92" s="118"/>
      <c r="AX92" s="118"/>
      <c r="AY92" s="118"/>
      <c r="AZ92" s="118"/>
      <c r="BA92" s="118"/>
      <c r="BB92" s="118"/>
      <c r="BC92" s="118"/>
      <c r="BD92" s="118"/>
      <c r="BE92" s="118"/>
      <c r="BF92" s="118"/>
      <c r="BG92" s="118"/>
      <c r="BH92" s="118"/>
      <c r="BI92" s="118"/>
      <c r="BJ92" s="118"/>
      <c r="BK92" s="118"/>
      <c r="BL92" s="118"/>
      <c r="BM92" s="118"/>
      <c r="BN92" s="118"/>
      <c r="BO92" s="118"/>
      <c r="BP92" s="118"/>
      <c r="BQ92" s="118"/>
      <c r="BR92" s="118"/>
      <c r="BS92" s="118"/>
      <c r="BT92" s="118"/>
    </row>
    <row r="93" spans="1:72" s="611" customFormat="1" ht="15.75" customHeight="1" x14ac:dyDescent="0.2">
      <c r="A93" s="529"/>
      <c r="B93" s="530"/>
      <c r="C93" s="548"/>
      <c r="D93" s="531"/>
      <c r="E93" s="531"/>
      <c r="F93" s="541"/>
      <c r="G93" s="612">
        <f>SUM(G94:G98)</f>
        <v>74731.5</v>
      </c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  <c r="AS93" s="118"/>
      <c r="AT93" s="118"/>
      <c r="AU93" s="118"/>
      <c r="AV93" s="118"/>
      <c r="AW93" s="118"/>
      <c r="AX93" s="118"/>
      <c r="AY93" s="118"/>
      <c r="AZ93" s="118"/>
      <c r="BA93" s="118"/>
      <c r="BB93" s="118"/>
      <c r="BC93" s="118"/>
      <c r="BD93" s="118"/>
      <c r="BE93" s="118"/>
      <c r="BF93" s="118"/>
      <c r="BG93" s="118"/>
      <c r="BH93" s="118"/>
      <c r="BI93" s="118"/>
      <c r="BJ93" s="118"/>
      <c r="BK93" s="118"/>
      <c r="BL93" s="118"/>
      <c r="BM93" s="118"/>
      <c r="BN93" s="118"/>
      <c r="BO93" s="118"/>
      <c r="BP93" s="118"/>
      <c r="BQ93" s="118"/>
      <c r="BR93" s="118"/>
      <c r="BS93" s="118"/>
      <c r="BT93" s="118"/>
    </row>
    <row r="94" spans="1:72" s="611" customFormat="1" ht="15.75" customHeight="1" x14ac:dyDescent="0.2">
      <c r="A94" s="529"/>
      <c r="B94" s="530"/>
      <c r="C94" s="548"/>
      <c r="D94" s="531"/>
      <c r="E94" s="531" t="s">
        <v>41</v>
      </c>
      <c r="F94" s="541" t="s">
        <v>321</v>
      </c>
      <c r="G94" s="542">
        <f>3162.57+834+6860+8674+20702+8078</f>
        <v>48310.57</v>
      </c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  <c r="AT94" s="118"/>
      <c r="AU94" s="118"/>
      <c r="AV94" s="118"/>
      <c r="AW94" s="118"/>
      <c r="AX94" s="118"/>
      <c r="AY94" s="118"/>
      <c r="AZ94" s="118"/>
      <c r="BA94" s="118"/>
      <c r="BB94" s="118"/>
      <c r="BC94" s="118"/>
      <c r="BD94" s="118"/>
      <c r="BE94" s="118"/>
      <c r="BF94" s="118"/>
      <c r="BG94" s="118"/>
      <c r="BH94" s="118"/>
      <c r="BI94" s="118"/>
      <c r="BJ94" s="118"/>
      <c r="BK94" s="118"/>
      <c r="BL94" s="118"/>
      <c r="BM94" s="118"/>
      <c r="BN94" s="118"/>
      <c r="BO94" s="118"/>
      <c r="BP94" s="118"/>
      <c r="BQ94" s="118"/>
      <c r="BR94" s="118"/>
      <c r="BS94" s="118"/>
      <c r="BT94" s="118"/>
    </row>
    <row r="95" spans="1:72" s="611" customFormat="1" ht="15.75" customHeight="1" x14ac:dyDescent="0.2">
      <c r="A95" s="529"/>
      <c r="B95" s="530"/>
      <c r="C95" s="548"/>
      <c r="D95" s="531"/>
      <c r="E95" s="531" t="s">
        <v>515</v>
      </c>
      <c r="F95" s="541" t="s">
        <v>321</v>
      </c>
      <c r="G95" s="542">
        <f>1500+2000</f>
        <v>3500</v>
      </c>
      <c r="H95" s="118"/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  <c r="AT95" s="118"/>
      <c r="AU95" s="118"/>
      <c r="AV95" s="118"/>
      <c r="AW95" s="118"/>
      <c r="AX95" s="118"/>
      <c r="AY95" s="118"/>
      <c r="AZ95" s="118"/>
      <c r="BA95" s="118"/>
      <c r="BB95" s="118"/>
      <c r="BC95" s="118"/>
      <c r="BD95" s="118"/>
      <c r="BE95" s="118"/>
      <c r="BF95" s="118"/>
      <c r="BG95" s="118"/>
      <c r="BH95" s="118"/>
      <c r="BI95" s="118"/>
      <c r="BJ95" s="118"/>
      <c r="BK95" s="118"/>
      <c r="BL95" s="118"/>
      <c r="BM95" s="118"/>
      <c r="BN95" s="118"/>
      <c r="BO95" s="118"/>
      <c r="BP95" s="118"/>
      <c r="BQ95" s="118"/>
      <c r="BR95" s="118"/>
      <c r="BS95" s="118"/>
      <c r="BT95" s="118"/>
    </row>
    <row r="96" spans="1:72" s="611" customFormat="1" ht="15.75" customHeight="1" x14ac:dyDescent="0.2">
      <c r="A96" s="529"/>
      <c r="B96" s="530"/>
      <c r="C96" s="548"/>
      <c r="D96" s="531"/>
      <c r="E96" s="531" t="s">
        <v>528</v>
      </c>
      <c r="F96" s="541" t="s">
        <v>321</v>
      </c>
      <c r="G96" s="542">
        <f>6150.93+6701+6069-9900+6576</f>
        <v>15596.93</v>
      </c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  <c r="AS96" s="118"/>
      <c r="AT96" s="118"/>
      <c r="AU96" s="118"/>
      <c r="AV96" s="118"/>
      <c r="AW96" s="118"/>
      <c r="AX96" s="118"/>
      <c r="AY96" s="118"/>
      <c r="AZ96" s="118"/>
      <c r="BA96" s="118"/>
      <c r="BB96" s="118"/>
      <c r="BC96" s="118"/>
      <c r="BD96" s="118"/>
      <c r="BE96" s="118"/>
      <c r="BF96" s="118"/>
      <c r="BG96" s="118"/>
      <c r="BH96" s="118"/>
      <c r="BI96" s="118"/>
      <c r="BJ96" s="118"/>
      <c r="BK96" s="118"/>
      <c r="BL96" s="118"/>
      <c r="BM96" s="118"/>
      <c r="BN96" s="118"/>
      <c r="BO96" s="118"/>
      <c r="BP96" s="118"/>
      <c r="BQ96" s="118"/>
      <c r="BR96" s="118"/>
      <c r="BS96" s="118"/>
      <c r="BT96" s="118"/>
    </row>
    <row r="97" spans="1:72" s="611" customFormat="1" ht="15.75" customHeight="1" x14ac:dyDescent="0.2">
      <c r="A97" s="529"/>
      <c r="B97" s="530"/>
      <c r="C97" s="548"/>
      <c r="D97" s="531"/>
      <c r="E97" s="531" t="s">
        <v>505</v>
      </c>
      <c r="F97" s="541" t="s">
        <v>321</v>
      </c>
      <c r="G97" s="542">
        <f>1503+1638+1483-2800+1500</f>
        <v>3324</v>
      </c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8"/>
      <c r="AL97" s="118"/>
      <c r="AM97" s="118"/>
      <c r="AN97" s="118"/>
      <c r="AO97" s="118"/>
      <c r="AP97" s="118"/>
      <c r="AQ97" s="118"/>
      <c r="AR97" s="118"/>
      <c r="AS97" s="118"/>
      <c r="AT97" s="118"/>
      <c r="AU97" s="118"/>
      <c r="AV97" s="118"/>
      <c r="AW97" s="118"/>
      <c r="AX97" s="118"/>
      <c r="AY97" s="118"/>
      <c r="AZ97" s="118"/>
      <c r="BA97" s="118"/>
      <c r="BB97" s="118"/>
      <c r="BC97" s="118"/>
      <c r="BD97" s="118"/>
      <c r="BE97" s="118"/>
      <c r="BF97" s="118"/>
      <c r="BG97" s="118"/>
      <c r="BH97" s="118"/>
      <c r="BI97" s="118"/>
      <c r="BJ97" s="118"/>
      <c r="BK97" s="118"/>
      <c r="BL97" s="118"/>
      <c r="BM97" s="118"/>
      <c r="BN97" s="118"/>
      <c r="BO97" s="118"/>
      <c r="BP97" s="118"/>
      <c r="BQ97" s="118"/>
      <c r="BR97" s="118"/>
      <c r="BS97" s="118"/>
      <c r="BT97" s="118"/>
    </row>
    <row r="98" spans="1:72" s="611" customFormat="1" ht="15.75" customHeight="1" x14ac:dyDescent="0.2">
      <c r="A98" s="529"/>
      <c r="B98" s="530"/>
      <c r="C98" s="548"/>
      <c r="D98" s="531"/>
      <c r="E98" s="531" t="s">
        <v>516</v>
      </c>
      <c r="F98" s="541" t="s">
        <v>321</v>
      </c>
      <c r="G98" s="542">
        <f>6000-2000</f>
        <v>4000</v>
      </c>
      <c r="H98" s="118"/>
      <c r="I98" s="118"/>
      <c r="J98" s="118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18"/>
      <c r="AN98" s="118"/>
      <c r="AO98" s="118"/>
      <c r="AP98" s="118"/>
      <c r="AQ98" s="118"/>
      <c r="AR98" s="118"/>
      <c r="AS98" s="118"/>
      <c r="AT98" s="118"/>
      <c r="AU98" s="118"/>
      <c r="AV98" s="118"/>
      <c r="AW98" s="118"/>
      <c r="AX98" s="118"/>
      <c r="AY98" s="118"/>
      <c r="AZ98" s="118"/>
      <c r="BA98" s="118"/>
      <c r="BB98" s="118"/>
      <c r="BC98" s="118"/>
      <c r="BD98" s="118"/>
      <c r="BE98" s="118"/>
      <c r="BF98" s="118"/>
      <c r="BG98" s="118"/>
      <c r="BH98" s="118"/>
      <c r="BI98" s="118"/>
      <c r="BJ98" s="118"/>
      <c r="BK98" s="118"/>
      <c r="BL98" s="118"/>
      <c r="BM98" s="118"/>
      <c r="BN98" s="118"/>
      <c r="BO98" s="118"/>
      <c r="BP98" s="118"/>
      <c r="BQ98" s="118"/>
      <c r="BR98" s="118"/>
      <c r="BS98" s="118"/>
      <c r="BT98" s="118"/>
    </row>
    <row r="99" spans="1:72" s="611" customFormat="1" ht="15.75" customHeight="1" x14ac:dyDescent="0.2">
      <c r="A99" s="529"/>
      <c r="B99" s="530"/>
      <c r="C99" s="548"/>
      <c r="D99" s="531"/>
      <c r="E99" s="531"/>
      <c r="F99" s="541"/>
      <c r="G99" s="542"/>
      <c r="H99" s="118"/>
      <c r="I99" s="118"/>
      <c r="J99" s="118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18"/>
      <c r="AN99" s="118"/>
      <c r="AO99" s="118"/>
      <c r="AP99" s="118"/>
      <c r="AQ99" s="118"/>
      <c r="AR99" s="118"/>
      <c r="AS99" s="118"/>
      <c r="AT99" s="118"/>
      <c r="AU99" s="118"/>
      <c r="AV99" s="118"/>
      <c r="AW99" s="118"/>
      <c r="AX99" s="118"/>
      <c r="AY99" s="118"/>
      <c r="AZ99" s="118"/>
      <c r="BA99" s="118"/>
      <c r="BB99" s="118"/>
      <c r="BC99" s="118"/>
      <c r="BD99" s="118"/>
      <c r="BE99" s="118"/>
      <c r="BF99" s="118"/>
      <c r="BG99" s="118"/>
      <c r="BH99" s="118"/>
      <c r="BI99" s="118"/>
      <c r="BJ99" s="118"/>
      <c r="BK99" s="118"/>
      <c r="BL99" s="118"/>
      <c r="BM99" s="118"/>
      <c r="BN99" s="118"/>
      <c r="BO99" s="118"/>
      <c r="BP99" s="118"/>
      <c r="BQ99" s="118"/>
      <c r="BR99" s="118"/>
      <c r="BS99" s="118"/>
      <c r="BT99" s="118"/>
    </row>
    <row r="100" spans="1:72" s="611" customFormat="1" ht="15.75" customHeight="1" x14ac:dyDescent="0.2">
      <c r="A100" s="529"/>
      <c r="B100" s="613" t="s">
        <v>19</v>
      </c>
      <c r="C100" s="531" t="s">
        <v>526</v>
      </c>
      <c r="D100" s="531" t="s">
        <v>530</v>
      </c>
      <c r="E100" s="537" t="s">
        <v>321</v>
      </c>
      <c r="F100" s="538" t="s">
        <v>321</v>
      </c>
      <c r="G100" s="539">
        <f>SUM(G102)</f>
        <v>370749.01</v>
      </c>
      <c r="H100" s="118"/>
      <c r="I100" s="118"/>
      <c r="J100" s="118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K100" s="118"/>
      <c r="AL100" s="118"/>
      <c r="AM100" s="118"/>
      <c r="AN100" s="118"/>
      <c r="AO100" s="118"/>
      <c r="AP100" s="118"/>
      <c r="AQ100" s="118"/>
      <c r="AR100" s="118"/>
      <c r="AS100" s="118"/>
      <c r="AT100" s="118"/>
      <c r="AU100" s="118"/>
      <c r="AV100" s="118"/>
      <c r="AW100" s="118"/>
      <c r="AX100" s="118"/>
      <c r="AY100" s="118"/>
      <c r="AZ100" s="118"/>
      <c r="BA100" s="118"/>
      <c r="BB100" s="118"/>
      <c r="BC100" s="118"/>
      <c r="BD100" s="118"/>
      <c r="BE100" s="118"/>
      <c r="BF100" s="118"/>
      <c r="BG100" s="118"/>
      <c r="BH100" s="118"/>
      <c r="BI100" s="118"/>
      <c r="BJ100" s="118"/>
      <c r="BK100" s="118"/>
      <c r="BL100" s="118"/>
      <c r="BM100" s="118"/>
      <c r="BN100" s="118"/>
      <c r="BO100" s="118"/>
      <c r="BP100" s="118"/>
      <c r="BQ100" s="118"/>
      <c r="BR100" s="118"/>
      <c r="BS100" s="118"/>
      <c r="BT100" s="118"/>
    </row>
    <row r="101" spans="1:72" s="611" customFormat="1" ht="15.75" customHeight="1" x14ac:dyDescent="0.2">
      <c r="A101" s="529"/>
      <c r="B101" s="530"/>
      <c r="C101" s="548"/>
      <c r="D101" s="531"/>
      <c r="E101" s="531"/>
      <c r="F101" s="541"/>
      <c r="G101" s="542"/>
      <c r="H101" s="118"/>
      <c r="I101" s="118"/>
      <c r="J101" s="118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  <c r="AL101" s="118"/>
      <c r="AM101" s="118"/>
      <c r="AN101" s="118"/>
      <c r="AO101" s="118"/>
      <c r="AP101" s="118"/>
      <c r="AQ101" s="118"/>
      <c r="AR101" s="118"/>
      <c r="AS101" s="118"/>
      <c r="AT101" s="118"/>
      <c r="AU101" s="118"/>
      <c r="AV101" s="118"/>
      <c r="AW101" s="118"/>
      <c r="AX101" s="118"/>
      <c r="AY101" s="118"/>
      <c r="AZ101" s="118"/>
      <c r="BA101" s="118"/>
      <c r="BB101" s="118"/>
      <c r="BC101" s="118"/>
      <c r="BD101" s="118"/>
      <c r="BE101" s="118"/>
      <c r="BF101" s="118"/>
      <c r="BG101" s="118"/>
      <c r="BH101" s="118"/>
      <c r="BI101" s="118"/>
      <c r="BJ101" s="118"/>
      <c r="BK101" s="118"/>
      <c r="BL101" s="118"/>
      <c r="BM101" s="118"/>
      <c r="BN101" s="118"/>
      <c r="BO101" s="118"/>
      <c r="BP101" s="118"/>
      <c r="BQ101" s="118"/>
      <c r="BR101" s="118"/>
      <c r="BS101" s="118"/>
      <c r="BT101" s="118"/>
    </row>
    <row r="102" spans="1:72" s="611" customFormat="1" ht="15.75" customHeight="1" x14ac:dyDescent="0.2">
      <c r="A102" s="529"/>
      <c r="B102" s="530"/>
      <c r="C102" s="548"/>
      <c r="D102" s="531"/>
      <c r="E102" s="531"/>
      <c r="F102" s="541"/>
      <c r="G102" s="612">
        <f>SUM(G103:G107)</f>
        <v>370749.01</v>
      </c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  <c r="AP102" s="118"/>
      <c r="AQ102" s="118"/>
      <c r="AR102" s="118"/>
      <c r="AS102" s="118"/>
      <c r="AT102" s="118"/>
      <c r="AU102" s="118"/>
      <c r="AV102" s="118"/>
      <c r="AW102" s="118"/>
      <c r="AX102" s="118"/>
      <c r="AY102" s="118"/>
      <c r="AZ102" s="118"/>
      <c r="BA102" s="118"/>
      <c r="BB102" s="118"/>
      <c r="BC102" s="118"/>
      <c r="BD102" s="118"/>
      <c r="BE102" s="118"/>
      <c r="BF102" s="118"/>
      <c r="BG102" s="118"/>
      <c r="BH102" s="118"/>
      <c r="BI102" s="118"/>
      <c r="BJ102" s="118"/>
      <c r="BK102" s="118"/>
      <c r="BL102" s="118"/>
      <c r="BM102" s="118"/>
      <c r="BN102" s="118"/>
      <c r="BO102" s="118"/>
      <c r="BP102" s="118"/>
      <c r="BQ102" s="118"/>
      <c r="BR102" s="118"/>
      <c r="BS102" s="118"/>
      <c r="BT102" s="118"/>
    </row>
    <row r="103" spans="1:72" s="611" customFormat="1" ht="15.75" customHeight="1" x14ac:dyDescent="0.2">
      <c r="A103" s="529"/>
      <c r="B103" s="530"/>
      <c r="C103" s="548"/>
      <c r="D103" s="531"/>
      <c r="E103" s="531" t="s">
        <v>41</v>
      </c>
      <c r="F103" s="541" t="s">
        <v>321</v>
      </c>
      <c r="G103" s="542">
        <f>10113.01+72423+47240+48295+46050+50471+36622</f>
        <v>311214.01</v>
      </c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  <c r="AP103" s="118"/>
      <c r="AQ103" s="118"/>
      <c r="AR103" s="118"/>
      <c r="AS103" s="118"/>
      <c r="AT103" s="118"/>
      <c r="AU103" s="118"/>
      <c r="AV103" s="118"/>
      <c r="AW103" s="118"/>
      <c r="AX103" s="118"/>
      <c r="AY103" s="118"/>
      <c r="AZ103" s="118"/>
      <c r="BA103" s="118"/>
      <c r="BB103" s="118"/>
      <c r="BC103" s="118"/>
      <c r="BD103" s="118"/>
      <c r="BE103" s="118"/>
      <c r="BF103" s="118"/>
      <c r="BG103" s="118"/>
      <c r="BH103" s="118"/>
      <c r="BI103" s="118"/>
      <c r="BJ103" s="118"/>
      <c r="BK103" s="118"/>
      <c r="BL103" s="118"/>
      <c r="BM103" s="118"/>
      <c r="BN103" s="118"/>
      <c r="BO103" s="118"/>
      <c r="BP103" s="118"/>
      <c r="BQ103" s="118"/>
      <c r="BR103" s="118"/>
      <c r="BS103" s="118"/>
      <c r="BT103" s="118"/>
    </row>
    <row r="104" spans="1:72" s="611" customFormat="1" ht="15.75" customHeight="1" x14ac:dyDescent="0.2">
      <c r="A104" s="529"/>
      <c r="B104" s="530"/>
      <c r="C104" s="548"/>
      <c r="D104" s="531"/>
      <c r="E104" s="531" t="s">
        <v>515</v>
      </c>
      <c r="F104" s="541" t="s">
        <v>321</v>
      </c>
      <c r="G104" s="542">
        <f>5731+100+565</f>
        <v>6396</v>
      </c>
      <c r="H104" s="118"/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  <c r="AP104" s="118"/>
      <c r="AQ104" s="118"/>
      <c r="AR104" s="118"/>
      <c r="AS104" s="118"/>
      <c r="AT104" s="118"/>
      <c r="AU104" s="118"/>
      <c r="AV104" s="118"/>
      <c r="AW104" s="118"/>
      <c r="AX104" s="118"/>
      <c r="AY104" s="118"/>
      <c r="AZ104" s="118"/>
      <c r="BA104" s="118"/>
      <c r="BB104" s="118"/>
      <c r="BC104" s="118"/>
      <c r="BD104" s="118"/>
      <c r="BE104" s="118"/>
      <c r="BF104" s="118"/>
      <c r="BG104" s="118"/>
      <c r="BH104" s="118"/>
      <c r="BI104" s="118"/>
      <c r="BJ104" s="118"/>
      <c r="BK104" s="118"/>
      <c r="BL104" s="118"/>
      <c r="BM104" s="118"/>
      <c r="BN104" s="118"/>
      <c r="BO104" s="118"/>
      <c r="BP104" s="118"/>
      <c r="BQ104" s="118"/>
      <c r="BR104" s="118"/>
      <c r="BS104" s="118"/>
      <c r="BT104" s="118"/>
    </row>
    <row r="105" spans="1:72" s="611" customFormat="1" ht="15.75" customHeight="1" x14ac:dyDescent="0.2">
      <c r="A105" s="529"/>
      <c r="B105" s="530"/>
      <c r="C105" s="548"/>
      <c r="D105" s="531"/>
      <c r="E105" s="531" t="s">
        <v>528</v>
      </c>
      <c r="F105" s="541" t="s">
        <v>321</v>
      </c>
      <c r="G105" s="542">
        <f>47074+24851-70679+850</f>
        <v>2096</v>
      </c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  <c r="AS105" s="118"/>
      <c r="AT105" s="118"/>
      <c r="AU105" s="118"/>
      <c r="AV105" s="118"/>
      <c r="AW105" s="118"/>
      <c r="AX105" s="118"/>
      <c r="AY105" s="118"/>
      <c r="AZ105" s="118"/>
      <c r="BA105" s="118"/>
      <c r="BB105" s="118"/>
      <c r="BC105" s="118"/>
      <c r="BD105" s="118"/>
      <c r="BE105" s="118"/>
      <c r="BF105" s="118"/>
      <c r="BG105" s="118"/>
      <c r="BH105" s="118"/>
      <c r="BI105" s="118"/>
      <c r="BJ105" s="118"/>
      <c r="BK105" s="118"/>
      <c r="BL105" s="118"/>
      <c r="BM105" s="118"/>
      <c r="BN105" s="118"/>
      <c r="BO105" s="118"/>
      <c r="BP105" s="118"/>
      <c r="BQ105" s="118"/>
      <c r="BR105" s="118"/>
      <c r="BS105" s="118"/>
      <c r="BT105" s="118"/>
    </row>
    <row r="106" spans="1:72" s="611" customFormat="1" ht="15.75" customHeight="1" x14ac:dyDescent="0.2">
      <c r="A106" s="529"/>
      <c r="B106" s="530"/>
      <c r="C106" s="548"/>
      <c r="D106" s="531"/>
      <c r="E106" s="531" t="s">
        <v>505</v>
      </c>
      <c r="F106" s="541" t="s">
        <v>321</v>
      </c>
      <c r="G106" s="542">
        <f>11505+6071-17227+176</f>
        <v>525</v>
      </c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  <c r="AP106" s="118"/>
      <c r="AQ106" s="118"/>
      <c r="AR106" s="118"/>
      <c r="AS106" s="118"/>
      <c r="AT106" s="118"/>
      <c r="AU106" s="118"/>
      <c r="AV106" s="118"/>
      <c r="AW106" s="118"/>
      <c r="AX106" s="118"/>
      <c r="AY106" s="118"/>
      <c r="AZ106" s="118"/>
      <c r="BA106" s="118"/>
      <c r="BB106" s="118"/>
      <c r="BC106" s="118"/>
      <c r="BD106" s="118"/>
      <c r="BE106" s="118"/>
      <c r="BF106" s="118"/>
      <c r="BG106" s="118"/>
      <c r="BH106" s="118"/>
      <c r="BI106" s="118"/>
      <c r="BJ106" s="118"/>
      <c r="BK106" s="118"/>
      <c r="BL106" s="118"/>
      <c r="BM106" s="118"/>
      <c r="BN106" s="118"/>
      <c r="BO106" s="118"/>
      <c r="BP106" s="118"/>
      <c r="BQ106" s="118"/>
      <c r="BR106" s="118"/>
      <c r="BS106" s="118"/>
      <c r="BT106" s="118"/>
    </row>
    <row r="107" spans="1:72" s="611" customFormat="1" ht="15.75" customHeight="1" x14ac:dyDescent="0.2">
      <c r="A107" s="529"/>
      <c r="B107" s="530"/>
      <c r="C107" s="548"/>
      <c r="D107" s="531"/>
      <c r="E107" s="531" t="s">
        <v>516</v>
      </c>
      <c r="F107" s="541" t="s">
        <v>321</v>
      </c>
      <c r="G107" s="542">
        <f>46698+800+3020</f>
        <v>50518</v>
      </c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  <c r="AP107" s="118"/>
      <c r="AQ107" s="118"/>
      <c r="AR107" s="118"/>
      <c r="AS107" s="118"/>
      <c r="AT107" s="118"/>
      <c r="AU107" s="118"/>
      <c r="AV107" s="118"/>
      <c r="AW107" s="118"/>
      <c r="AX107" s="118"/>
      <c r="AY107" s="118"/>
      <c r="AZ107" s="118"/>
      <c r="BA107" s="118"/>
      <c r="BB107" s="118"/>
      <c r="BC107" s="118"/>
      <c r="BD107" s="118"/>
      <c r="BE107" s="118"/>
      <c r="BF107" s="118"/>
      <c r="BG107" s="118"/>
      <c r="BH107" s="118"/>
      <c r="BI107" s="118"/>
      <c r="BJ107" s="118"/>
      <c r="BK107" s="118"/>
      <c r="BL107" s="118"/>
      <c r="BM107" s="118"/>
      <c r="BN107" s="118"/>
      <c r="BO107" s="118"/>
      <c r="BP107" s="118"/>
      <c r="BQ107" s="118"/>
      <c r="BR107" s="118"/>
      <c r="BS107" s="118"/>
      <c r="BT107" s="118"/>
    </row>
    <row r="108" spans="1:72" s="611" customFormat="1" ht="15.75" customHeight="1" x14ac:dyDescent="0.2">
      <c r="A108" s="529"/>
      <c r="B108" s="530"/>
      <c r="C108" s="548"/>
      <c r="D108" s="531"/>
      <c r="E108" s="531"/>
      <c r="F108" s="541"/>
      <c r="G108" s="542"/>
      <c r="H108" s="118"/>
      <c r="I108" s="118"/>
      <c r="J108" s="118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  <c r="AP108" s="118"/>
      <c r="AQ108" s="118"/>
      <c r="AR108" s="118"/>
      <c r="AS108" s="118"/>
      <c r="AT108" s="118"/>
      <c r="AU108" s="118"/>
      <c r="AV108" s="118"/>
      <c r="AW108" s="118"/>
      <c r="AX108" s="118"/>
      <c r="AY108" s="118"/>
      <c r="AZ108" s="118"/>
      <c r="BA108" s="118"/>
      <c r="BB108" s="118"/>
      <c r="BC108" s="118"/>
      <c r="BD108" s="118"/>
      <c r="BE108" s="118"/>
      <c r="BF108" s="118"/>
      <c r="BG108" s="118"/>
      <c r="BH108" s="118"/>
      <c r="BI108" s="118"/>
      <c r="BJ108" s="118"/>
      <c r="BK108" s="118"/>
      <c r="BL108" s="118"/>
      <c r="BM108" s="118"/>
      <c r="BN108" s="118"/>
      <c r="BO108" s="118"/>
      <c r="BP108" s="118"/>
      <c r="BQ108" s="118"/>
      <c r="BR108" s="118"/>
      <c r="BS108" s="118"/>
      <c r="BT108" s="118"/>
    </row>
    <row r="109" spans="1:72" s="611" customFormat="1" ht="15.75" customHeight="1" x14ac:dyDescent="0.2">
      <c r="A109" s="529"/>
      <c r="B109" s="613" t="s">
        <v>185</v>
      </c>
      <c r="C109" s="531" t="s">
        <v>526</v>
      </c>
      <c r="D109" s="531" t="s">
        <v>530</v>
      </c>
      <c r="E109" s="537" t="s">
        <v>321</v>
      </c>
      <c r="F109" s="538" t="s">
        <v>321</v>
      </c>
      <c r="G109" s="539">
        <f>SUM(G111)</f>
        <v>49874.85</v>
      </c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18"/>
      <c r="AS109" s="118"/>
      <c r="AT109" s="118"/>
      <c r="AU109" s="118"/>
      <c r="AV109" s="118"/>
      <c r="AW109" s="118"/>
      <c r="AX109" s="118"/>
      <c r="AY109" s="118"/>
      <c r="AZ109" s="118"/>
      <c r="BA109" s="118"/>
      <c r="BB109" s="118"/>
      <c r="BC109" s="118"/>
      <c r="BD109" s="118"/>
      <c r="BE109" s="118"/>
      <c r="BF109" s="118"/>
      <c r="BG109" s="118"/>
      <c r="BH109" s="118"/>
      <c r="BI109" s="118"/>
      <c r="BJ109" s="118"/>
      <c r="BK109" s="118"/>
      <c r="BL109" s="118"/>
      <c r="BM109" s="118"/>
      <c r="BN109" s="118"/>
      <c r="BO109" s="118"/>
      <c r="BP109" s="118"/>
      <c r="BQ109" s="118"/>
      <c r="BR109" s="118"/>
      <c r="BS109" s="118"/>
      <c r="BT109" s="118"/>
    </row>
    <row r="110" spans="1:72" s="611" customFormat="1" ht="15.75" customHeight="1" x14ac:dyDescent="0.2">
      <c r="A110" s="529"/>
      <c r="B110" s="530"/>
      <c r="C110" s="548"/>
      <c r="D110" s="531"/>
      <c r="E110" s="531"/>
      <c r="F110" s="541"/>
      <c r="G110" s="542"/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118"/>
      <c r="AO110" s="118"/>
      <c r="AP110" s="118"/>
      <c r="AQ110" s="118"/>
      <c r="AR110" s="118"/>
      <c r="AS110" s="118"/>
      <c r="AT110" s="118"/>
      <c r="AU110" s="118"/>
      <c r="AV110" s="118"/>
      <c r="AW110" s="118"/>
      <c r="AX110" s="118"/>
      <c r="AY110" s="118"/>
      <c r="AZ110" s="118"/>
      <c r="BA110" s="118"/>
      <c r="BB110" s="118"/>
      <c r="BC110" s="118"/>
      <c r="BD110" s="118"/>
      <c r="BE110" s="118"/>
      <c r="BF110" s="118"/>
      <c r="BG110" s="118"/>
      <c r="BH110" s="118"/>
      <c r="BI110" s="118"/>
      <c r="BJ110" s="118"/>
      <c r="BK110" s="118"/>
      <c r="BL110" s="118"/>
      <c r="BM110" s="118"/>
      <c r="BN110" s="118"/>
      <c r="BO110" s="118"/>
      <c r="BP110" s="118"/>
      <c r="BQ110" s="118"/>
      <c r="BR110" s="118"/>
      <c r="BS110" s="118"/>
      <c r="BT110" s="118"/>
    </row>
    <row r="111" spans="1:72" s="611" customFormat="1" ht="15.75" customHeight="1" x14ac:dyDescent="0.2">
      <c r="A111" s="529"/>
      <c r="B111" s="530"/>
      <c r="C111" s="548"/>
      <c r="D111" s="531"/>
      <c r="E111" s="531"/>
      <c r="F111" s="541"/>
      <c r="G111" s="612">
        <f>SUM(G112)</f>
        <v>49874.85</v>
      </c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  <c r="AP111" s="118"/>
      <c r="AQ111" s="118"/>
      <c r="AR111" s="118"/>
      <c r="AS111" s="118"/>
      <c r="AT111" s="118"/>
      <c r="AU111" s="118"/>
      <c r="AV111" s="118"/>
      <c r="AW111" s="118"/>
      <c r="AX111" s="118"/>
      <c r="AY111" s="118"/>
      <c r="AZ111" s="118"/>
      <c r="BA111" s="118"/>
      <c r="BB111" s="118"/>
      <c r="BC111" s="118"/>
      <c r="BD111" s="118"/>
      <c r="BE111" s="118"/>
      <c r="BF111" s="118"/>
      <c r="BG111" s="118"/>
      <c r="BH111" s="118"/>
      <c r="BI111" s="118"/>
      <c r="BJ111" s="118"/>
      <c r="BK111" s="118"/>
      <c r="BL111" s="118"/>
      <c r="BM111" s="118"/>
      <c r="BN111" s="118"/>
      <c r="BO111" s="118"/>
      <c r="BP111" s="118"/>
      <c r="BQ111" s="118"/>
      <c r="BR111" s="118"/>
      <c r="BS111" s="118"/>
      <c r="BT111" s="118"/>
    </row>
    <row r="112" spans="1:72" s="611" customFormat="1" ht="15.75" customHeight="1" x14ac:dyDescent="0.2">
      <c r="A112" s="529"/>
      <c r="B112" s="530"/>
      <c r="C112" s="548"/>
      <c r="D112" s="531"/>
      <c r="E112" s="531" t="s">
        <v>192</v>
      </c>
      <c r="F112" s="541" t="s">
        <v>321</v>
      </c>
      <c r="G112" s="542">
        <f>10372.44+5081.41+5625+5444+5625+5991+5598+6138</f>
        <v>49874.85</v>
      </c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  <c r="AO112" s="118"/>
      <c r="AP112" s="118"/>
      <c r="AQ112" s="118"/>
      <c r="AR112" s="118"/>
      <c r="AS112" s="118"/>
      <c r="AT112" s="118"/>
      <c r="AU112" s="118"/>
      <c r="AV112" s="118"/>
      <c r="AW112" s="118"/>
      <c r="AX112" s="118"/>
      <c r="AY112" s="118"/>
      <c r="AZ112" s="118"/>
      <c r="BA112" s="118"/>
      <c r="BB112" s="118"/>
      <c r="BC112" s="118"/>
      <c r="BD112" s="118"/>
      <c r="BE112" s="118"/>
      <c r="BF112" s="118"/>
      <c r="BG112" s="118"/>
      <c r="BH112" s="118"/>
      <c r="BI112" s="118"/>
      <c r="BJ112" s="118"/>
      <c r="BK112" s="118"/>
      <c r="BL112" s="118"/>
      <c r="BM112" s="118"/>
      <c r="BN112" s="118"/>
      <c r="BO112" s="118"/>
      <c r="BP112" s="118"/>
      <c r="BQ112" s="118"/>
      <c r="BR112" s="118"/>
      <c r="BS112" s="118"/>
      <c r="BT112" s="118"/>
    </row>
    <row r="113" spans="1:72" s="611" customFormat="1" ht="15.75" customHeight="1" x14ac:dyDescent="0.2">
      <c r="A113" s="529"/>
      <c r="B113" s="530"/>
      <c r="C113" s="548"/>
      <c r="D113" s="531"/>
      <c r="E113" s="531"/>
      <c r="F113" s="541"/>
      <c r="G113" s="542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8"/>
      <c r="AN113" s="118"/>
      <c r="AO113" s="118"/>
      <c r="AP113" s="118"/>
      <c r="AQ113" s="118"/>
      <c r="AR113" s="118"/>
      <c r="AS113" s="118"/>
      <c r="AT113" s="118"/>
      <c r="AU113" s="118"/>
      <c r="AV113" s="118"/>
      <c r="AW113" s="118"/>
      <c r="AX113" s="118"/>
      <c r="AY113" s="118"/>
      <c r="AZ113" s="118"/>
      <c r="BA113" s="118"/>
      <c r="BB113" s="118"/>
      <c r="BC113" s="118"/>
      <c r="BD113" s="118"/>
      <c r="BE113" s="118"/>
      <c r="BF113" s="118"/>
      <c r="BG113" s="118"/>
      <c r="BH113" s="118"/>
      <c r="BI113" s="118"/>
      <c r="BJ113" s="118"/>
      <c r="BK113" s="118"/>
      <c r="BL113" s="118"/>
      <c r="BM113" s="118"/>
      <c r="BN113" s="118"/>
      <c r="BO113" s="118"/>
      <c r="BP113" s="118"/>
      <c r="BQ113" s="118"/>
      <c r="BR113" s="118"/>
      <c r="BS113" s="118"/>
      <c r="BT113" s="118"/>
    </row>
    <row r="114" spans="1:72" s="611" customFormat="1" ht="15.75" customHeight="1" x14ac:dyDescent="0.2">
      <c r="A114" s="529"/>
      <c r="B114" s="613" t="s">
        <v>19</v>
      </c>
      <c r="C114" s="531" t="s">
        <v>526</v>
      </c>
      <c r="D114" s="531" t="s">
        <v>531</v>
      </c>
      <c r="E114" s="537" t="s">
        <v>321</v>
      </c>
      <c r="F114" s="538" t="s">
        <v>321</v>
      </c>
      <c r="G114" s="539">
        <f>SUM(G116)</f>
        <v>57787.520000000004</v>
      </c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  <c r="AL114" s="118"/>
      <c r="AM114" s="118"/>
      <c r="AN114" s="118"/>
      <c r="AO114" s="118"/>
      <c r="AP114" s="118"/>
      <c r="AQ114" s="118"/>
      <c r="AR114" s="118"/>
      <c r="AS114" s="118"/>
      <c r="AT114" s="118"/>
      <c r="AU114" s="118"/>
      <c r="AV114" s="118"/>
      <c r="AW114" s="118"/>
      <c r="AX114" s="118"/>
      <c r="AY114" s="118"/>
      <c r="AZ114" s="118"/>
      <c r="BA114" s="118"/>
      <c r="BB114" s="118"/>
      <c r="BC114" s="118"/>
      <c r="BD114" s="118"/>
      <c r="BE114" s="118"/>
      <c r="BF114" s="118"/>
      <c r="BG114" s="118"/>
      <c r="BH114" s="118"/>
      <c r="BI114" s="118"/>
      <c r="BJ114" s="118"/>
      <c r="BK114" s="118"/>
      <c r="BL114" s="118"/>
      <c r="BM114" s="118"/>
      <c r="BN114" s="118"/>
      <c r="BO114" s="118"/>
      <c r="BP114" s="118"/>
      <c r="BQ114" s="118"/>
      <c r="BR114" s="118"/>
      <c r="BS114" s="118"/>
      <c r="BT114" s="118"/>
    </row>
    <row r="115" spans="1:72" s="611" customFormat="1" ht="15.75" customHeight="1" x14ac:dyDescent="0.2">
      <c r="A115" s="529"/>
      <c r="B115" s="530"/>
      <c r="C115" s="548"/>
      <c r="D115" s="531"/>
      <c r="E115" s="531"/>
      <c r="F115" s="541"/>
      <c r="G115" s="542"/>
      <c r="H115" s="118"/>
      <c r="I115" s="118"/>
      <c r="J115" s="118"/>
      <c r="K115" s="118"/>
      <c r="L115" s="118"/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8"/>
      <c r="AK115" s="118"/>
      <c r="AL115" s="118"/>
      <c r="AM115" s="118"/>
      <c r="AN115" s="118"/>
      <c r="AO115" s="118"/>
      <c r="AP115" s="118"/>
      <c r="AQ115" s="118"/>
      <c r="AR115" s="118"/>
      <c r="AS115" s="118"/>
      <c r="AT115" s="118"/>
      <c r="AU115" s="118"/>
      <c r="AV115" s="118"/>
      <c r="AW115" s="118"/>
      <c r="AX115" s="118"/>
      <c r="AY115" s="118"/>
      <c r="AZ115" s="118"/>
      <c r="BA115" s="118"/>
      <c r="BB115" s="118"/>
      <c r="BC115" s="118"/>
      <c r="BD115" s="118"/>
      <c r="BE115" s="118"/>
      <c r="BF115" s="118"/>
      <c r="BG115" s="118"/>
      <c r="BH115" s="118"/>
      <c r="BI115" s="118"/>
      <c r="BJ115" s="118"/>
      <c r="BK115" s="118"/>
      <c r="BL115" s="118"/>
      <c r="BM115" s="118"/>
      <c r="BN115" s="118"/>
      <c r="BO115" s="118"/>
      <c r="BP115" s="118"/>
      <c r="BQ115" s="118"/>
      <c r="BR115" s="118"/>
      <c r="BS115" s="118"/>
      <c r="BT115" s="118"/>
    </row>
    <row r="116" spans="1:72" s="611" customFormat="1" ht="15.75" customHeight="1" x14ac:dyDescent="0.2">
      <c r="A116" s="529"/>
      <c r="B116" s="530"/>
      <c r="C116" s="548"/>
      <c r="D116" s="531"/>
      <c r="E116" s="531"/>
      <c r="F116" s="541"/>
      <c r="G116" s="612">
        <f>SUM(G117:G121)</f>
        <v>57787.520000000004</v>
      </c>
      <c r="H116" s="118"/>
      <c r="I116" s="118"/>
      <c r="J116" s="118"/>
      <c r="K116" s="118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  <c r="AL116" s="118"/>
      <c r="AM116" s="118"/>
      <c r="AN116" s="118"/>
      <c r="AO116" s="118"/>
      <c r="AP116" s="118"/>
      <c r="AQ116" s="118"/>
      <c r="AR116" s="118"/>
      <c r="AS116" s="118"/>
      <c r="AT116" s="118"/>
      <c r="AU116" s="118"/>
      <c r="AV116" s="118"/>
      <c r="AW116" s="118"/>
      <c r="AX116" s="118"/>
      <c r="AY116" s="118"/>
      <c r="AZ116" s="118"/>
      <c r="BA116" s="118"/>
      <c r="BB116" s="118"/>
      <c r="BC116" s="118"/>
      <c r="BD116" s="118"/>
      <c r="BE116" s="118"/>
      <c r="BF116" s="118"/>
      <c r="BG116" s="118"/>
      <c r="BH116" s="118"/>
      <c r="BI116" s="118"/>
      <c r="BJ116" s="118"/>
      <c r="BK116" s="118"/>
      <c r="BL116" s="118"/>
      <c r="BM116" s="118"/>
      <c r="BN116" s="118"/>
      <c r="BO116" s="118"/>
      <c r="BP116" s="118"/>
      <c r="BQ116" s="118"/>
      <c r="BR116" s="118"/>
      <c r="BS116" s="118"/>
      <c r="BT116" s="118"/>
    </row>
    <row r="117" spans="1:72" s="611" customFormat="1" ht="15.75" customHeight="1" x14ac:dyDescent="0.2">
      <c r="A117" s="529"/>
      <c r="B117" s="530"/>
      <c r="C117" s="548"/>
      <c r="D117" s="531"/>
      <c r="E117" s="531" t="s">
        <v>41</v>
      </c>
      <c r="F117" s="541" t="s">
        <v>321</v>
      </c>
      <c r="G117" s="542">
        <f>696.52+7770+6552+6770+21746+6770+4770</f>
        <v>55074.520000000004</v>
      </c>
      <c r="H117" s="118"/>
      <c r="I117" s="118"/>
      <c r="J117" s="118"/>
      <c r="K117" s="118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  <c r="AP117" s="118"/>
      <c r="AQ117" s="118"/>
      <c r="AR117" s="118"/>
      <c r="AS117" s="118"/>
      <c r="AT117" s="118"/>
      <c r="AU117" s="118"/>
      <c r="AV117" s="118"/>
      <c r="AW117" s="118"/>
      <c r="AX117" s="118"/>
      <c r="AY117" s="118"/>
      <c r="AZ117" s="118"/>
      <c r="BA117" s="118"/>
      <c r="BB117" s="118"/>
      <c r="BC117" s="118"/>
      <c r="BD117" s="118"/>
      <c r="BE117" s="118"/>
      <c r="BF117" s="118"/>
      <c r="BG117" s="118"/>
      <c r="BH117" s="118"/>
      <c r="BI117" s="118"/>
      <c r="BJ117" s="118"/>
      <c r="BK117" s="118"/>
      <c r="BL117" s="118"/>
      <c r="BM117" s="118"/>
      <c r="BN117" s="118"/>
      <c r="BO117" s="118"/>
      <c r="BP117" s="118"/>
      <c r="BQ117" s="118"/>
      <c r="BR117" s="118"/>
      <c r="BS117" s="118"/>
      <c r="BT117" s="118"/>
    </row>
    <row r="118" spans="1:72" s="611" customFormat="1" ht="15.75" customHeight="1" x14ac:dyDescent="0.2">
      <c r="A118" s="529"/>
      <c r="B118" s="530"/>
      <c r="C118" s="548"/>
      <c r="D118" s="531"/>
      <c r="E118" s="531" t="s">
        <v>515</v>
      </c>
      <c r="F118" s="541" t="s">
        <v>321</v>
      </c>
      <c r="G118" s="542">
        <f>713+700</f>
        <v>1413</v>
      </c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  <c r="AP118" s="118"/>
      <c r="AQ118" s="118"/>
      <c r="AR118" s="118"/>
      <c r="AS118" s="118"/>
      <c r="AT118" s="118"/>
      <c r="AU118" s="118"/>
      <c r="AV118" s="118"/>
      <c r="AW118" s="118"/>
      <c r="AX118" s="118"/>
      <c r="AY118" s="118"/>
      <c r="AZ118" s="118"/>
      <c r="BA118" s="118"/>
      <c r="BB118" s="118"/>
      <c r="BC118" s="118"/>
      <c r="BD118" s="118"/>
      <c r="BE118" s="118"/>
      <c r="BF118" s="118"/>
      <c r="BG118" s="118"/>
      <c r="BH118" s="118"/>
      <c r="BI118" s="118"/>
      <c r="BJ118" s="118"/>
      <c r="BK118" s="118"/>
      <c r="BL118" s="118"/>
      <c r="BM118" s="118"/>
      <c r="BN118" s="118"/>
      <c r="BO118" s="118"/>
      <c r="BP118" s="118"/>
      <c r="BQ118" s="118"/>
      <c r="BR118" s="118"/>
      <c r="BS118" s="118"/>
      <c r="BT118" s="118"/>
    </row>
    <row r="119" spans="1:72" s="611" customFormat="1" ht="15.75" customHeight="1" x14ac:dyDescent="0.2">
      <c r="A119" s="529"/>
      <c r="B119" s="530"/>
      <c r="C119" s="548"/>
      <c r="D119" s="531"/>
      <c r="E119" s="531" t="s">
        <v>528</v>
      </c>
      <c r="F119" s="541" t="s">
        <v>321</v>
      </c>
      <c r="G119" s="542">
        <f>4416+5864+4914-15194</f>
        <v>0</v>
      </c>
      <c r="H119" s="118"/>
      <c r="I119" s="118"/>
      <c r="J119" s="118"/>
      <c r="K119" s="118"/>
      <c r="L119" s="118"/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  <c r="AP119" s="118"/>
      <c r="AQ119" s="118"/>
      <c r="AR119" s="118"/>
      <c r="AS119" s="118"/>
      <c r="AT119" s="118"/>
      <c r="AU119" s="118"/>
      <c r="AV119" s="118"/>
      <c r="AW119" s="118"/>
      <c r="AX119" s="118"/>
      <c r="AY119" s="118"/>
      <c r="AZ119" s="118"/>
      <c r="BA119" s="118"/>
      <c r="BB119" s="118"/>
      <c r="BC119" s="118"/>
      <c r="BD119" s="118"/>
      <c r="BE119" s="118"/>
      <c r="BF119" s="118"/>
      <c r="BG119" s="118"/>
      <c r="BH119" s="118"/>
      <c r="BI119" s="118"/>
      <c r="BJ119" s="118"/>
      <c r="BK119" s="118"/>
      <c r="BL119" s="118"/>
      <c r="BM119" s="118"/>
      <c r="BN119" s="118"/>
      <c r="BO119" s="118"/>
      <c r="BP119" s="118"/>
      <c r="BQ119" s="118"/>
      <c r="BR119" s="118"/>
      <c r="BS119" s="118"/>
      <c r="BT119" s="118"/>
    </row>
    <row r="120" spans="1:72" s="611" customFormat="1" ht="15.75" customHeight="1" x14ac:dyDescent="0.2">
      <c r="A120" s="529"/>
      <c r="B120" s="530"/>
      <c r="C120" s="548"/>
      <c r="D120" s="531"/>
      <c r="E120" s="531" t="s">
        <v>505</v>
      </c>
      <c r="F120" s="541" t="s">
        <v>321</v>
      </c>
      <c r="G120" s="542">
        <f>1079+1433+1201-3713</f>
        <v>0</v>
      </c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T120" s="118"/>
      <c r="AU120" s="118"/>
      <c r="AV120" s="118"/>
      <c r="AW120" s="118"/>
      <c r="AX120" s="118"/>
      <c r="AY120" s="118"/>
      <c r="AZ120" s="118"/>
      <c r="BA120" s="118"/>
      <c r="BB120" s="118"/>
      <c r="BC120" s="118"/>
      <c r="BD120" s="118"/>
      <c r="BE120" s="118"/>
      <c r="BF120" s="118"/>
      <c r="BG120" s="118"/>
      <c r="BH120" s="118"/>
      <c r="BI120" s="118"/>
      <c r="BJ120" s="118"/>
      <c r="BK120" s="118"/>
      <c r="BL120" s="118"/>
      <c r="BM120" s="118"/>
      <c r="BN120" s="118"/>
      <c r="BO120" s="118"/>
      <c r="BP120" s="118"/>
      <c r="BQ120" s="118"/>
      <c r="BR120" s="118"/>
      <c r="BS120" s="118"/>
      <c r="BT120" s="118"/>
    </row>
    <row r="121" spans="1:72" s="611" customFormat="1" ht="15.75" customHeight="1" x14ac:dyDescent="0.2">
      <c r="A121" s="529"/>
      <c r="B121" s="530"/>
      <c r="C121" s="548"/>
      <c r="D121" s="531"/>
      <c r="E121" s="531" t="s">
        <v>516</v>
      </c>
      <c r="F121" s="541" t="s">
        <v>321</v>
      </c>
      <c r="G121" s="542">
        <f>2000-700</f>
        <v>1300</v>
      </c>
      <c r="H121" s="118"/>
      <c r="I121" s="118"/>
      <c r="J121" s="118"/>
      <c r="K121" s="118"/>
      <c r="L121" s="118"/>
      <c r="M121" s="118"/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  <c r="AP121" s="118"/>
      <c r="AQ121" s="118"/>
      <c r="AR121" s="118"/>
      <c r="AS121" s="118"/>
      <c r="AT121" s="118"/>
      <c r="AU121" s="118"/>
      <c r="AV121" s="118"/>
      <c r="AW121" s="118"/>
      <c r="AX121" s="118"/>
      <c r="AY121" s="118"/>
      <c r="AZ121" s="118"/>
      <c r="BA121" s="118"/>
      <c r="BB121" s="118"/>
      <c r="BC121" s="118"/>
      <c r="BD121" s="118"/>
      <c r="BE121" s="118"/>
      <c r="BF121" s="118"/>
      <c r="BG121" s="118"/>
      <c r="BH121" s="118"/>
      <c r="BI121" s="118"/>
      <c r="BJ121" s="118"/>
      <c r="BK121" s="118"/>
      <c r="BL121" s="118"/>
      <c r="BM121" s="118"/>
      <c r="BN121" s="118"/>
      <c r="BO121" s="118"/>
      <c r="BP121" s="118"/>
      <c r="BQ121" s="118"/>
      <c r="BR121" s="118"/>
      <c r="BS121" s="118"/>
      <c r="BT121" s="118"/>
    </row>
    <row r="122" spans="1:72" s="611" customFormat="1" ht="15.75" customHeight="1" x14ac:dyDescent="0.2">
      <c r="A122" s="529"/>
      <c r="B122" s="530"/>
      <c r="C122" s="548"/>
      <c r="D122" s="531"/>
      <c r="E122" s="531"/>
      <c r="F122" s="541"/>
      <c r="G122" s="542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  <c r="AS122" s="118"/>
      <c r="AT122" s="118"/>
      <c r="AU122" s="118"/>
      <c r="AV122" s="118"/>
      <c r="AW122" s="118"/>
      <c r="AX122" s="118"/>
      <c r="AY122" s="118"/>
      <c r="AZ122" s="118"/>
      <c r="BA122" s="118"/>
      <c r="BB122" s="118"/>
      <c r="BC122" s="118"/>
      <c r="BD122" s="118"/>
      <c r="BE122" s="118"/>
      <c r="BF122" s="118"/>
      <c r="BG122" s="118"/>
      <c r="BH122" s="118"/>
      <c r="BI122" s="118"/>
      <c r="BJ122" s="118"/>
      <c r="BK122" s="118"/>
      <c r="BL122" s="118"/>
      <c r="BM122" s="118"/>
      <c r="BN122" s="118"/>
      <c r="BO122" s="118"/>
      <c r="BP122" s="118"/>
      <c r="BQ122" s="118"/>
      <c r="BR122" s="118"/>
      <c r="BS122" s="118"/>
      <c r="BT122" s="118"/>
    </row>
    <row r="123" spans="1:72" s="611" customFormat="1" ht="15.75" customHeight="1" x14ac:dyDescent="0.2">
      <c r="A123" s="529"/>
      <c r="B123" s="613" t="s">
        <v>19</v>
      </c>
      <c r="C123" s="531" t="s">
        <v>526</v>
      </c>
      <c r="D123" s="531" t="s">
        <v>532</v>
      </c>
      <c r="E123" s="537" t="s">
        <v>321</v>
      </c>
      <c r="F123" s="538" t="s">
        <v>321</v>
      </c>
      <c r="G123" s="539">
        <f>SUM(G125)</f>
        <v>105146.40999999999</v>
      </c>
      <c r="H123" s="118"/>
      <c r="I123" s="118"/>
      <c r="J123" s="118"/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  <c r="AP123" s="118"/>
      <c r="AQ123" s="118"/>
      <c r="AR123" s="118"/>
      <c r="AS123" s="118"/>
      <c r="AT123" s="118"/>
      <c r="AU123" s="118"/>
      <c r="AV123" s="118"/>
      <c r="AW123" s="118"/>
      <c r="AX123" s="118"/>
      <c r="AY123" s="118"/>
      <c r="AZ123" s="118"/>
      <c r="BA123" s="118"/>
      <c r="BB123" s="118"/>
      <c r="BC123" s="118"/>
      <c r="BD123" s="118"/>
      <c r="BE123" s="118"/>
      <c r="BF123" s="118"/>
      <c r="BG123" s="118"/>
      <c r="BH123" s="118"/>
      <c r="BI123" s="118"/>
      <c r="BJ123" s="118"/>
      <c r="BK123" s="118"/>
      <c r="BL123" s="118"/>
      <c r="BM123" s="118"/>
      <c r="BN123" s="118"/>
      <c r="BO123" s="118"/>
      <c r="BP123" s="118"/>
      <c r="BQ123" s="118"/>
      <c r="BR123" s="118"/>
      <c r="BS123" s="118"/>
      <c r="BT123" s="118"/>
    </row>
    <row r="124" spans="1:72" s="611" customFormat="1" ht="15.75" customHeight="1" x14ac:dyDescent="0.2">
      <c r="A124" s="529"/>
      <c r="B124" s="530"/>
      <c r="C124" s="548"/>
      <c r="D124" s="531"/>
      <c r="E124" s="531"/>
      <c r="F124" s="541"/>
      <c r="G124" s="542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  <c r="AP124" s="118"/>
      <c r="AQ124" s="118"/>
      <c r="AR124" s="118"/>
      <c r="AS124" s="118"/>
      <c r="AT124" s="118"/>
      <c r="AU124" s="118"/>
      <c r="AV124" s="118"/>
      <c r="AW124" s="118"/>
      <c r="AX124" s="118"/>
      <c r="AY124" s="118"/>
      <c r="AZ124" s="118"/>
      <c r="BA124" s="118"/>
      <c r="BB124" s="118"/>
      <c r="BC124" s="118"/>
      <c r="BD124" s="118"/>
      <c r="BE124" s="118"/>
      <c r="BF124" s="118"/>
      <c r="BG124" s="118"/>
      <c r="BH124" s="118"/>
      <c r="BI124" s="118"/>
      <c r="BJ124" s="118"/>
      <c r="BK124" s="118"/>
      <c r="BL124" s="118"/>
      <c r="BM124" s="118"/>
      <c r="BN124" s="118"/>
      <c r="BO124" s="118"/>
      <c r="BP124" s="118"/>
      <c r="BQ124" s="118"/>
      <c r="BR124" s="118"/>
      <c r="BS124" s="118"/>
      <c r="BT124" s="118"/>
    </row>
    <row r="125" spans="1:72" s="611" customFormat="1" ht="15.75" customHeight="1" x14ac:dyDescent="0.2">
      <c r="A125" s="529"/>
      <c r="B125" s="530"/>
      <c r="C125" s="548"/>
      <c r="D125" s="531"/>
      <c r="E125" s="531"/>
      <c r="F125" s="541"/>
      <c r="G125" s="612">
        <f>SUM(G126:G130)</f>
        <v>105146.40999999999</v>
      </c>
      <c r="H125" s="118"/>
      <c r="I125" s="118"/>
      <c r="J125" s="118"/>
      <c r="K125" s="118"/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18"/>
      <c r="AS125" s="118"/>
      <c r="AT125" s="118"/>
      <c r="AU125" s="118"/>
      <c r="AV125" s="118"/>
      <c r="AW125" s="118"/>
      <c r="AX125" s="118"/>
      <c r="AY125" s="118"/>
      <c r="AZ125" s="118"/>
      <c r="BA125" s="118"/>
      <c r="BB125" s="118"/>
      <c r="BC125" s="118"/>
      <c r="BD125" s="118"/>
      <c r="BE125" s="118"/>
      <c r="BF125" s="118"/>
      <c r="BG125" s="118"/>
      <c r="BH125" s="118"/>
      <c r="BI125" s="118"/>
      <c r="BJ125" s="118"/>
      <c r="BK125" s="118"/>
      <c r="BL125" s="118"/>
      <c r="BM125" s="118"/>
      <c r="BN125" s="118"/>
      <c r="BO125" s="118"/>
      <c r="BP125" s="118"/>
      <c r="BQ125" s="118"/>
      <c r="BR125" s="118"/>
      <c r="BS125" s="118"/>
      <c r="BT125" s="118"/>
    </row>
    <row r="126" spans="1:72" s="611" customFormat="1" ht="15.75" customHeight="1" x14ac:dyDescent="0.2">
      <c r="A126" s="529"/>
      <c r="B126" s="530"/>
      <c r="C126" s="548"/>
      <c r="D126" s="531"/>
      <c r="E126" s="531" t="s">
        <v>41</v>
      </c>
      <c r="F126" s="541" t="s">
        <v>321</v>
      </c>
      <c r="G126" s="542">
        <f>4417.41+137-137+12272+33562+15078-75</f>
        <v>65254.41</v>
      </c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18"/>
      <c r="AS126" s="118"/>
      <c r="AT126" s="118"/>
      <c r="AU126" s="118"/>
      <c r="AV126" s="118"/>
      <c r="AW126" s="118"/>
      <c r="AX126" s="118"/>
      <c r="AY126" s="118"/>
      <c r="AZ126" s="118"/>
      <c r="BA126" s="118"/>
      <c r="BB126" s="118"/>
      <c r="BC126" s="118"/>
      <c r="BD126" s="118"/>
      <c r="BE126" s="118"/>
      <c r="BF126" s="118"/>
      <c r="BG126" s="118"/>
      <c r="BH126" s="118"/>
      <c r="BI126" s="118"/>
      <c r="BJ126" s="118"/>
      <c r="BK126" s="118"/>
      <c r="BL126" s="118"/>
      <c r="BM126" s="118"/>
      <c r="BN126" s="118"/>
      <c r="BO126" s="118"/>
      <c r="BP126" s="118"/>
      <c r="BQ126" s="118"/>
      <c r="BR126" s="118"/>
      <c r="BS126" s="118"/>
      <c r="BT126" s="118"/>
    </row>
    <row r="127" spans="1:72" s="611" customFormat="1" ht="15.75" customHeight="1" x14ac:dyDescent="0.2">
      <c r="A127" s="529"/>
      <c r="B127" s="530"/>
      <c r="C127" s="548"/>
      <c r="D127" s="531"/>
      <c r="E127" s="531" t="s">
        <v>515</v>
      </c>
      <c r="F127" s="541" t="s">
        <v>321</v>
      </c>
      <c r="G127" s="542">
        <f>105+215+30</f>
        <v>350</v>
      </c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  <c r="AL127" s="118"/>
      <c r="AM127" s="118"/>
      <c r="AN127" s="118"/>
      <c r="AO127" s="118"/>
      <c r="AP127" s="118"/>
      <c r="AQ127" s="118"/>
      <c r="AR127" s="118"/>
      <c r="AS127" s="118"/>
      <c r="AT127" s="118"/>
      <c r="AU127" s="118"/>
      <c r="AV127" s="118"/>
      <c r="AW127" s="118"/>
      <c r="AX127" s="118"/>
      <c r="AY127" s="118"/>
      <c r="AZ127" s="118"/>
      <c r="BA127" s="118"/>
      <c r="BB127" s="118"/>
      <c r="BC127" s="118"/>
      <c r="BD127" s="118"/>
      <c r="BE127" s="118"/>
      <c r="BF127" s="118"/>
      <c r="BG127" s="118"/>
      <c r="BH127" s="118"/>
      <c r="BI127" s="118"/>
      <c r="BJ127" s="118"/>
      <c r="BK127" s="118"/>
      <c r="BL127" s="118"/>
      <c r="BM127" s="118"/>
      <c r="BN127" s="118"/>
      <c r="BO127" s="118"/>
      <c r="BP127" s="118"/>
      <c r="BQ127" s="118"/>
      <c r="BR127" s="118"/>
      <c r="BS127" s="118"/>
      <c r="BT127" s="118"/>
    </row>
    <row r="128" spans="1:72" s="611" customFormat="1" ht="15.75" customHeight="1" x14ac:dyDescent="0.2">
      <c r="A128" s="529"/>
      <c r="B128" s="530"/>
      <c r="C128" s="548"/>
      <c r="D128" s="531"/>
      <c r="E128" s="531" t="s">
        <v>528</v>
      </c>
      <c r="F128" s="541" t="s">
        <v>321</v>
      </c>
      <c r="G128" s="542">
        <f>7396+8670+6065+4705+6442-15716.29+9572</f>
        <v>27133.71</v>
      </c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  <c r="AP128" s="118"/>
      <c r="AQ128" s="118"/>
      <c r="AR128" s="118"/>
      <c r="AS128" s="118"/>
      <c r="AT128" s="118"/>
      <c r="AU128" s="118"/>
      <c r="AV128" s="118"/>
      <c r="AW128" s="118"/>
      <c r="AX128" s="118"/>
      <c r="AY128" s="118"/>
      <c r="AZ128" s="118"/>
      <c r="BA128" s="118"/>
      <c r="BB128" s="118"/>
      <c r="BC128" s="118"/>
      <c r="BD128" s="118"/>
      <c r="BE128" s="118"/>
      <c r="BF128" s="118"/>
      <c r="BG128" s="118"/>
      <c r="BH128" s="118"/>
      <c r="BI128" s="118"/>
      <c r="BJ128" s="118"/>
      <c r="BK128" s="118"/>
      <c r="BL128" s="118"/>
      <c r="BM128" s="118"/>
      <c r="BN128" s="118"/>
      <c r="BO128" s="118"/>
      <c r="BP128" s="118"/>
      <c r="BQ128" s="118"/>
      <c r="BR128" s="118"/>
      <c r="BS128" s="118"/>
      <c r="BT128" s="118"/>
    </row>
    <row r="129" spans="1:72" s="611" customFormat="1" ht="15.75" customHeight="1" x14ac:dyDescent="0.2">
      <c r="A129" s="543"/>
      <c r="B129" s="544"/>
      <c r="C129" s="545"/>
      <c r="D129" s="532"/>
      <c r="E129" s="532" t="s">
        <v>505</v>
      </c>
      <c r="F129" s="534" t="s">
        <v>321</v>
      </c>
      <c r="G129" s="546">
        <f>1808+2118+1483+650+844-3086.71+2702</f>
        <v>6518.29</v>
      </c>
      <c r="H129" s="118"/>
      <c r="I129" s="118"/>
      <c r="J129" s="118"/>
      <c r="K129" s="118"/>
      <c r="L129" s="118"/>
      <c r="M129" s="118"/>
      <c r="N129" s="118"/>
      <c r="O129" s="118"/>
      <c r="P129" s="118"/>
      <c r="Q129" s="118"/>
      <c r="R129" s="118"/>
      <c r="S129" s="118"/>
      <c r="T129" s="118"/>
      <c r="U129" s="118"/>
      <c r="V129" s="118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  <c r="AL129" s="118"/>
      <c r="AM129" s="118"/>
      <c r="AN129" s="118"/>
      <c r="AO129" s="118"/>
      <c r="AP129" s="118"/>
      <c r="AQ129" s="118"/>
      <c r="AR129" s="118"/>
      <c r="AS129" s="118"/>
      <c r="AT129" s="118"/>
      <c r="AU129" s="118"/>
      <c r="AV129" s="118"/>
      <c r="AW129" s="118"/>
      <c r="AX129" s="118"/>
      <c r="AY129" s="118"/>
      <c r="AZ129" s="118"/>
      <c r="BA129" s="118"/>
      <c r="BB129" s="118"/>
      <c r="BC129" s="118"/>
      <c r="BD129" s="118"/>
      <c r="BE129" s="118"/>
      <c r="BF129" s="118"/>
      <c r="BG129" s="118"/>
      <c r="BH129" s="118"/>
      <c r="BI129" s="118"/>
      <c r="BJ129" s="118"/>
      <c r="BK129" s="118"/>
      <c r="BL129" s="118"/>
      <c r="BM129" s="118"/>
      <c r="BN129" s="118"/>
      <c r="BO129" s="118"/>
      <c r="BP129" s="118"/>
      <c r="BQ129" s="118"/>
      <c r="BR129" s="118"/>
      <c r="BS129" s="118"/>
      <c r="BT129" s="118"/>
    </row>
    <row r="130" spans="1:72" s="611" customFormat="1" ht="15.75" customHeight="1" x14ac:dyDescent="0.2">
      <c r="A130" s="529"/>
      <c r="B130" s="530"/>
      <c r="C130" s="548"/>
      <c r="D130" s="531"/>
      <c r="E130" s="531" t="s">
        <v>516</v>
      </c>
      <c r="F130" s="541" t="s">
        <v>321</v>
      </c>
      <c r="G130" s="542">
        <f>6580+470-1160</f>
        <v>5890</v>
      </c>
      <c r="H130" s="118"/>
      <c r="I130" s="118"/>
      <c r="J130" s="118"/>
      <c r="K130" s="118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  <c r="AL130" s="118"/>
      <c r="AM130" s="118"/>
      <c r="AN130" s="118"/>
      <c r="AO130" s="118"/>
      <c r="AP130" s="118"/>
      <c r="AQ130" s="118"/>
      <c r="AR130" s="118"/>
      <c r="AS130" s="118"/>
      <c r="AT130" s="118"/>
      <c r="AU130" s="118"/>
      <c r="AV130" s="118"/>
      <c r="AW130" s="118"/>
      <c r="AX130" s="118"/>
      <c r="AY130" s="118"/>
      <c r="AZ130" s="118"/>
      <c r="BA130" s="118"/>
      <c r="BB130" s="118"/>
      <c r="BC130" s="118"/>
      <c r="BD130" s="118"/>
      <c r="BE130" s="118"/>
      <c r="BF130" s="118"/>
      <c r="BG130" s="118"/>
      <c r="BH130" s="118"/>
      <c r="BI130" s="118"/>
      <c r="BJ130" s="118"/>
      <c r="BK130" s="118"/>
      <c r="BL130" s="118"/>
      <c r="BM130" s="118"/>
      <c r="BN130" s="118"/>
      <c r="BO130" s="118"/>
      <c r="BP130" s="118"/>
      <c r="BQ130" s="118"/>
      <c r="BR130" s="118"/>
      <c r="BS130" s="118"/>
      <c r="BT130" s="118"/>
    </row>
    <row r="131" spans="1:72" s="611" customFormat="1" ht="6" customHeight="1" x14ac:dyDescent="0.2">
      <c r="A131" s="529"/>
      <c r="B131" s="530"/>
      <c r="C131" s="548"/>
      <c r="D131" s="531"/>
      <c r="E131" s="531"/>
      <c r="F131" s="541"/>
      <c r="G131" s="542"/>
      <c r="H131" s="118"/>
      <c r="I131" s="118"/>
      <c r="J131" s="118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  <c r="AS131" s="118"/>
      <c r="AT131" s="118"/>
      <c r="AU131" s="118"/>
      <c r="AV131" s="118"/>
      <c r="AW131" s="118"/>
      <c r="AX131" s="118"/>
      <c r="AY131" s="118"/>
      <c r="AZ131" s="118"/>
      <c r="BA131" s="118"/>
      <c r="BB131" s="118"/>
      <c r="BC131" s="118"/>
      <c r="BD131" s="118"/>
      <c r="BE131" s="118"/>
      <c r="BF131" s="118"/>
      <c r="BG131" s="118"/>
      <c r="BH131" s="118"/>
      <c r="BI131" s="118"/>
      <c r="BJ131" s="118"/>
      <c r="BK131" s="118"/>
      <c r="BL131" s="118"/>
      <c r="BM131" s="118"/>
      <c r="BN131" s="118"/>
      <c r="BO131" s="118"/>
      <c r="BP131" s="118"/>
      <c r="BQ131" s="118"/>
      <c r="BR131" s="118"/>
      <c r="BS131" s="118"/>
      <c r="BT131" s="118"/>
    </row>
    <row r="132" spans="1:72" s="611" customFormat="1" ht="15.75" customHeight="1" x14ac:dyDescent="0.2">
      <c r="A132" s="529"/>
      <c r="B132" s="613" t="s">
        <v>19</v>
      </c>
      <c r="C132" s="531" t="s">
        <v>526</v>
      </c>
      <c r="D132" s="531" t="s">
        <v>533</v>
      </c>
      <c r="E132" s="537" t="s">
        <v>321</v>
      </c>
      <c r="F132" s="538" t="s">
        <v>321</v>
      </c>
      <c r="G132" s="539">
        <f>SUM(G134)</f>
        <v>26143</v>
      </c>
      <c r="H132" s="118"/>
      <c r="I132" s="118"/>
      <c r="J132" s="118"/>
      <c r="K132" s="118"/>
      <c r="L132" s="118"/>
      <c r="M132" s="118"/>
      <c r="N132" s="118"/>
      <c r="O132" s="118"/>
      <c r="P132" s="118"/>
      <c r="Q132" s="118"/>
      <c r="R132" s="118"/>
      <c r="S132" s="118"/>
      <c r="T132" s="118"/>
      <c r="U132" s="118"/>
      <c r="V132" s="118"/>
      <c r="W132" s="118"/>
      <c r="X132" s="118"/>
      <c r="Y132" s="118"/>
      <c r="Z132" s="118"/>
      <c r="AA132" s="118"/>
      <c r="AB132" s="118"/>
      <c r="AC132" s="118"/>
      <c r="AD132" s="118"/>
      <c r="AE132" s="118"/>
      <c r="AF132" s="118"/>
      <c r="AG132" s="118"/>
      <c r="AH132" s="118"/>
      <c r="AI132" s="118"/>
      <c r="AJ132" s="118"/>
      <c r="AK132" s="118"/>
      <c r="AL132" s="118"/>
      <c r="AM132" s="118"/>
      <c r="AN132" s="118"/>
      <c r="AO132" s="118"/>
      <c r="AP132" s="118"/>
      <c r="AQ132" s="118"/>
      <c r="AR132" s="118"/>
      <c r="AS132" s="118"/>
      <c r="AT132" s="118"/>
      <c r="AU132" s="118"/>
      <c r="AV132" s="118"/>
      <c r="AW132" s="118"/>
      <c r="AX132" s="118"/>
      <c r="AY132" s="118"/>
      <c r="AZ132" s="118"/>
      <c r="BA132" s="118"/>
      <c r="BB132" s="118"/>
      <c r="BC132" s="118"/>
      <c r="BD132" s="118"/>
      <c r="BE132" s="118"/>
      <c r="BF132" s="118"/>
      <c r="BG132" s="118"/>
      <c r="BH132" s="118"/>
      <c r="BI132" s="118"/>
      <c r="BJ132" s="118"/>
      <c r="BK132" s="118"/>
      <c r="BL132" s="118"/>
      <c r="BM132" s="118"/>
      <c r="BN132" s="118"/>
      <c r="BO132" s="118"/>
      <c r="BP132" s="118"/>
      <c r="BQ132" s="118"/>
      <c r="BR132" s="118"/>
      <c r="BS132" s="118"/>
      <c r="BT132" s="118"/>
    </row>
    <row r="133" spans="1:72" s="611" customFormat="1" ht="6.75" customHeight="1" x14ac:dyDescent="0.2">
      <c r="A133" s="529"/>
      <c r="B133" s="530"/>
      <c r="C133" s="548"/>
      <c r="D133" s="531"/>
      <c r="E133" s="531"/>
      <c r="F133" s="541"/>
      <c r="G133" s="542"/>
      <c r="H133" s="118"/>
      <c r="I133" s="118"/>
      <c r="J133" s="118"/>
      <c r="K133" s="118"/>
      <c r="L133" s="118"/>
      <c r="M133" s="118"/>
      <c r="N133" s="118"/>
      <c r="O133" s="118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  <c r="AL133" s="118"/>
      <c r="AM133" s="118"/>
      <c r="AN133" s="118"/>
      <c r="AO133" s="118"/>
      <c r="AP133" s="118"/>
      <c r="AQ133" s="118"/>
      <c r="AR133" s="118"/>
      <c r="AS133" s="118"/>
      <c r="AT133" s="118"/>
      <c r="AU133" s="118"/>
      <c r="AV133" s="118"/>
      <c r="AW133" s="118"/>
      <c r="AX133" s="118"/>
      <c r="AY133" s="118"/>
      <c r="AZ133" s="118"/>
      <c r="BA133" s="118"/>
      <c r="BB133" s="118"/>
      <c r="BC133" s="118"/>
      <c r="BD133" s="118"/>
      <c r="BE133" s="118"/>
      <c r="BF133" s="118"/>
      <c r="BG133" s="118"/>
      <c r="BH133" s="118"/>
      <c r="BI133" s="118"/>
      <c r="BJ133" s="118"/>
      <c r="BK133" s="118"/>
      <c r="BL133" s="118"/>
      <c r="BM133" s="118"/>
      <c r="BN133" s="118"/>
      <c r="BO133" s="118"/>
      <c r="BP133" s="118"/>
      <c r="BQ133" s="118"/>
      <c r="BR133" s="118"/>
      <c r="BS133" s="118"/>
      <c r="BT133" s="118"/>
    </row>
    <row r="134" spans="1:72" s="611" customFormat="1" ht="15.75" customHeight="1" x14ac:dyDescent="0.2">
      <c r="A134" s="529"/>
      <c r="B134" s="530"/>
      <c r="C134" s="548"/>
      <c r="D134" s="531"/>
      <c r="E134" s="531"/>
      <c r="F134" s="541"/>
      <c r="G134" s="612">
        <f>SUM(G135:G139)</f>
        <v>26143</v>
      </c>
      <c r="H134" s="118"/>
      <c r="I134" s="118"/>
      <c r="J134" s="118"/>
      <c r="K134" s="118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  <c r="AL134" s="118"/>
      <c r="AM134" s="118"/>
      <c r="AN134" s="118"/>
      <c r="AO134" s="118"/>
      <c r="AP134" s="118"/>
      <c r="AQ134" s="118"/>
      <c r="AR134" s="118"/>
      <c r="AS134" s="118"/>
      <c r="AT134" s="118"/>
      <c r="AU134" s="118"/>
      <c r="AV134" s="118"/>
      <c r="AW134" s="118"/>
      <c r="AX134" s="118"/>
      <c r="AY134" s="118"/>
      <c r="AZ134" s="118"/>
      <c r="BA134" s="118"/>
      <c r="BB134" s="118"/>
      <c r="BC134" s="118"/>
      <c r="BD134" s="118"/>
      <c r="BE134" s="118"/>
      <c r="BF134" s="118"/>
      <c r="BG134" s="118"/>
      <c r="BH134" s="118"/>
      <c r="BI134" s="118"/>
      <c r="BJ134" s="118"/>
      <c r="BK134" s="118"/>
      <c r="BL134" s="118"/>
      <c r="BM134" s="118"/>
      <c r="BN134" s="118"/>
      <c r="BO134" s="118"/>
      <c r="BP134" s="118"/>
      <c r="BQ134" s="118"/>
      <c r="BR134" s="118"/>
      <c r="BS134" s="118"/>
      <c r="BT134" s="118"/>
    </row>
    <row r="135" spans="1:72" s="611" customFormat="1" ht="15.75" customHeight="1" x14ac:dyDescent="0.2">
      <c r="A135" s="529"/>
      <c r="B135" s="530"/>
      <c r="C135" s="548"/>
      <c r="D135" s="531"/>
      <c r="E135" s="531" t="s">
        <v>41</v>
      </c>
      <c r="F135" s="541" t="s">
        <v>321</v>
      </c>
      <c r="G135" s="542">
        <f>3683+6308+2889+1000</f>
        <v>13880</v>
      </c>
      <c r="H135" s="118"/>
      <c r="I135" s="118"/>
      <c r="J135" s="118"/>
      <c r="K135" s="118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  <c r="AP135" s="118"/>
      <c r="AQ135" s="118"/>
      <c r="AR135" s="118"/>
      <c r="AS135" s="118"/>
      <c r="AT135" s="118"/>
      <c r="AU135" s="118"/>
      <c r="AV135" s="118"/>
      <c r="AW135" s="118"/>
      <c r="AX135" s="118"/>
      <c r="AY135" s="118"/>
      <c r="AZ135" s="118"/>
      <c r="BA135" s="118"/>
      <c r="BB135" s="118"/>
      <c r="BC135" s="118"/>
      <c r="BD135" s="118"/>
      <c r="BE135" s="118"/>
      <c r="BF135" s="118"/>
      <c r="BG135" s="118"/>
      <c r="BH135" s="118"/>
      <c r="BI135" s="118"/>
      <c r="BJ135" s="118"/>
      <c r="BK135" s="118"/>
      <c r="BL135" s="118"/>
      <c r="BM135" s="118"/>
      <c r="BN135" s="118"/>
      <c r="BO135" s="118"/>
      <c r="BP135" s="118"/>
      <c r="BQ135" s="118"/>
      <c r="BR135" s="118"/>
      <c r="BS135" s="118"/>
      <c r="BT135" s="118"/>
    </row>
    <row r="136" spans="1:72" s="611" customFormat="1" ht="15.75" customHeight="1" x14ac:dyDescent="0.2">
      <c r="A136" s="529"/>
      <c r="B136" s="530"/>
      <c r="C136" s="548"/>
      <c r="D136" s="531"/>
      <c r="E136" s="531" t="s">
        <v>515</v>
      </c>
      <c r="F136" s="541" t="s">
        <v>321</v>
      </c>
      <c r="G136" s="542">
        <f>200</f>
        <v>200</v>
      </c>
      <c r="H136" s="118"/>
      <c r="I136" s="118"/>
      <c r="J136" s="118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  <c r="AP136" s="118"/>
      <c r="AQ136" s="118"/>
      <c r="AR136" s="118"/>
      <c r="AS136" s="118"/>
      <c r="AT136" s="118"/>
      <c r="AU136" s="118"/>
      <c r="AV136" s="118"/>
      <c r="AW136" s="118"/>
      <c r="AX136" s="118"/>
      <c r="AY136" s="118"/>
      <c r="AZ136" s="118"/>
      <c r="BA136" s="118"/>
      <c r="BB136" s="118"/>
      <c r="BC136" s="118"/>
      <c r="BD136" s="118"/>
      <c r="BE136" s="118"/>
      <c r="BF136" s="118"/>
      <c r="BG136" s="118"/>
      <c r="BH136" s="118"/>
      <c r="BI136" s="118"/>
      <c r="BJ136" s="118"/>
      <c r="BK136" s="118"/>
      <c r="BL136" s="118"/>
      <c r="BM136" s="118"/>
      <c r="BN136" s="118"/>
      <c r="BO136" s="118"/>
      <c r="BP136" s="118"/>
      <c r="BQ136" s="118"/>
      <c r="BR136" s="118"/>
      <c r="BS136" s="118"/>
      <c r="BT136" s="118"/>
    </row>
    <row r="137" spans="1:72" s="611" customFormat="1" ht="15.75" customHeight="1" x14ac:dyDescent="0.2">
      <c r="A137" s="529"/>
      <c r="B137" s="530"/>
      <c r="C137" s="548"/>
      <c r="D137" s="531"/>
      <c r="E137" s="531" t="s">
        <v>528</v>
      </c>
      <c r="F137" s="541" t="s">
        <v>321</v>
      </c>
      <c r="G137" s="542">
        <f>2060+2334+4352-3000-2166+2423</f>
        <v>6003</v>
      </c>
      <c r="H137" s="118"/>
      <c r="I137" s="118"/>
      <c r="J137" s="118"/>
      <c r="K137" s="118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  <c r="AP137" s="118"/>
      <c r="AQ137" s="118"/>
      <c r="AR137" s="118"/>
      <c r="AS137" s="118"/>
      <c r="AT137" s="118"/>
      <c r="AU137" s="118"/>
      <c r="AV137" s="118"/>
      <c r="AW137" s="118"/>
      <c r="AX137" s="118"/>
      <c r="AY137" s="118"/>
      <c r="AZ137" s="118"/>
      <c r="BA137" s="118"/>
      <c r="BB137" s="118"/>
      <c r="BC137" s="118"/>
      <c r="BD137" s="118"/>
      <c r="BE137" s="118"/>
      <c r="BF137" s="118"/>
      <c r="BG137" s="118"/>
      <c r="BH137" s="118"/>
      <c r="BI137" s="118"/>
      <c r="BJ137" s="118"/>
      <c r="BK137" s="118"/>
      <c r="BL137" s="118"/>
      <c r="BM137" s="118"/>
      <c r="BN137" s="118"/>
      <c r="BO137" s="118"/>
      <c r="BP137" s="118"/>
      <c r="BQ137" s="118"/>
      <c r="BR137" s="118"/>
      <c r="BS137" s="118"/>
      <c r="BT137" s="118"/>
    </row>
    <row r="138" spans="1:72" s="611" customFormat="1" ht="15.75" customHeight="1" x14ac:dyDescent="0.2">
      <c r="A138" s="529"/>
      <c r="B138" s="530"/>
      <c r="C138" s="548"/>
      <c r="D138" s="531"/>
      <c r="E138" s="531" t="s">
        <v>505</v>
      </c>
      <c r="F138" s="541" t="s">
        <v>321</v>
      </c>
      <c r="G138" s="542">
        <f>504+570+1062-1000-476+500</f>
        <v>1160</v>
      </c>
      <c r="H138" s="118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  <c r="AP138" s="118"/>
      <c r="AQ138" s="118"/>
      <c r="AR138" s="118"/>
      <c r="AS138" s="118"/>
      <c r="AT138" s="118"/>
      <c r="AU138" s="118"/>
      <c r="AV138" s="118"/>
      <c r="AW138" s="118"/>
      <c r="AX138" s="118"/>
      <c r="AY138" s="118"/>
      <c r="AZ138" s="118"/>
      <c r="BA138" s="118"/>
      <c r="BB138" s="118"/>
      <c r="BC138" s="118"/>
      <c r="BD138" s="118"/>
      <c r="BE138" s="118"/>
      <c r="BF138" s="118"/>
      <c r="BG138" s="118"/>
      <c r="BH138" s="118"/>
      <c r="BI138" s="118"/>
      <c r="BJ138" s="118"/>
      <c r="BK138" s="118"/>
      <c r="BL138" s="118"/>
      <c r="BM138" s="118"/>
      <c r="BN138" s="118"/>
      <c r="BO138" s="118"/>
      <c r="BP138" s="118"/>
      <c r="BQ138" s="118"/>
      <c r="BR138" s="118"/>
      <c r="BS138" s="118"/>
      <c r="BT138" s="118"/>
    </row>
    <row r="139" spans="1:72" s="611" customFormat="1" ht="15.75" customHeight="1" x14ac:dyDescent="0.2">
      <c r="A139" s="529"/>
      <c r="B139" s="530"/>
      <c r="C139" s="548"/>
      <c r="D139" s="531"/>
      <c r="E139" s="531" t="s">
        <v>516</v>
      </c>
      <c r="F139" s="541" t="s">
        <v>321</v>
      </c>
      <c r="G139" s="542">
        <f>4800+100</f>
        <v>4900</v>
      </c>
      <c r="H139" s="118"/>
      <c r="I139" s="118"/>
      <c r="J139" s="118"/>
      <c r="K139" s="118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  <c r="AP139" s="118"/>
      <c r="AQ139" s="118"/>
      <c r="AR139" s="118"/>
      <c r="AS139" s="118"/>
      <c r="AT139" s="118"/>
      <c r="AU139" s="118"/>
      <c r="AV139" s="118"/>
      <c r="AW139" s="118"/>
      <c r="AX139" s="118"/>
      <c r="AY139" s="118"/>
      <c r="AZ139" s="118"/>
      <c r="BA139" s="118"/>
      <c r="BB139" s="118"/>
      <c r="BC139" s="118"/>
      <c r="BD139" s="118"/>
      <c r="BE139" s="118"/>
      <c r="BF139" s="118"/>
      <c r="BG139" s="118"/>
      <c r="BH139" s="118"/>
      <c r="BI139" s="118"/>
      <c r="BJ139" s="118"/>
      <c r="BK139" s="118"/>
      <c r="BL139" s="118"/>
      <c r="BM139" s="118"/>
      <c r="BN139" s="118"/>
      <c r="BO139" s="118"/>
      <c r="BP139" s="118"/>
      <c r="BQ139" s="118"/>
      <c r="BR139" s="118"/>
      <c r="BS139" s="118"/>
      <c r="BT139" s="118"/>
    </row>
    <row r="140" spans="1:72" s="611" customFormat="1" ht="7.5" customHeight="1" x14ac:dyDescent="0.2">
      <c r="A140" s="529"/>
      <c r="B140" s="530"/>
      <c r="C140" s="548"/>
      <c r="D140" s="531"/>
      <c r="E140" s="532"/>
      <c r="F140" s="534"/>
      <c r="G140" s="546"/>
      <c r="H140" s="118"/>
      <c r="I140" s="118"/>
      <c r="J140" s="118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  <c r="AP140" s="118"/>
      <c r="AQ140" s="118"/>
      <c r="AR140" s="118"/>
      <c r="AS140" s="118"/>
      <c r="AT140" s="118"/>
      <c r="AU140" s="118"/>
      <c r="AV140" s="118"/>
      <c r="AW140" s="118"/>
      <c r="AX140" s="118"/>
      <c r="AY140" s="118"/>
      <c r="AZ140" s="118"/>
      <c r="BA140" s="118"/>
      <c r="BB140" s="118"/>
      <c r="BC140" s="118"/>
      <c r="BD140" s="118"/>
      <c r="BE140" s="118"/>
      <c r="BF140" s="118"/>
      <c r="BG140" s="118"/>
      <c r="BH140" s="118"/>
      <c r="BI140" s="118"/>
      <c r="BJ140" s="118"/>
      <c r="BK140" s="118"/>
      <c r="BL140" s="118"/>
      <c r="BM140" s="118"/>
      <c r="BN140" s="118"/>
      <c r="BO140" s="118"/>
      <c r="BP140" s="118"/>
      <c r="BQ140" s="118"/>
      <c r="BR140" s="118"/>
      <c r="BS140" s="118"/>
      <c r="BT140" s="118"/>
    </row>
    <row r="141" spans="1:72" s="611" customFormat="1" ht="18.75" customHeight="1" x14ac:dyDescent="0.2">
      <c r="A141" s="529"/>
      <c r="B141" s="613" t="s">
        <v>185</v>
      </c>
      <c r="C141" s="531" t="s">
        <v>526</v>
      </c>
      <c r="D141" s="531" t="s">
        <v>533</v>
      </c>
      <c r="E141" s="532" t="s">
        <v>321</v>
      </c>
      <c r="F141" s="534" t="s">
        <v>321</v>
      </c>
      <c r="G141" s="533">
        <f>SUM(G143)</f>
        <v>7400.67</v>
      </c>
      <c r="H141" s="118"/>
      <c r="I141" s="118"/>
      <c r="J141" s="118"/>
      <c r="K141" s="118"/>
      <c r="L141" s="118"/>
      <c r="M141" s="118"/>
      <c r="N141" s="118"/>
      <c r="O141" s="118"/>
      <c r="P141" s="118"/>
      <c r="Q141" s="118"/>
      <c r="R141" s="118"/>
      <c r="S141" s="118"/>
      <c r="T141" s="118"/>
      <c r="U141" s="118"/>
      <c r="V141" s="118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  <c r="AP141" s="118"/>
      <c r="AQ141" s="118"/>
      <c r="AR141" s="118"/>
      <c r="AS141" s="118"/>
      <c r="AT141" s="118"/>
      <c r="AU141" s="118"/>
      <c r="AV141" s="118"/>
      <c r="AW141" s="118"/>
      <c r="AX141" s="118"/>
      <c r="AY141" s="118"/>
      <c r="AZ141" s="118"/>
      <c r="BA141" s="118"/>
      <c r="BB141" s="118"/>
      <c r="BC141" s="118"/>
      <c r="BD141" s="118"/>
      <c r="BE141" s="118"/>
      <c r="BF141" s="118"/>
      <c r="BG141" s="118"/>
      <c r="BH141" s="118"/>
      <c r="BI141" s="118"/>
      <c r="BJ141" s="118"/>
      <c r="BK141" s="118"/>
      <c r="BL141" s="118"/>
      <c r="BM141" s="118"/>
      <c r="BN141" s="118"/>
      <c r="BO141" s="118"/>
      <c r="BP141" s="118"/>
      <c r="BQ141" s="118"/>
      <c r="BR141" s="118"/>
      <c r="BS141" s="118"/>
      <c r="BT141" s="118"/>
    </row>
    <row r="142" spans="1:72" s="611" customFormat="1" ht="6" customHeight="1" x14ac:dyDescent="0.2">
      <c r="A142" s="529"/>
      <c r="B142" s="530"/>
      <c r="C142" s="548"/>
      <c r="D142" s="531"/>
      <c r="E142" s="531"/>
      <c r="F142" s="541"/>
      <c r="G142" s="542"/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  <c r="AP142" s="118"/>
      <c r="AQ142" s="118"/>
      <c r="AR142" s="118"/>
      <c r="AS142" s="118"/>
      <c r="AT142" s="118"/>
      <c r="AU142" s="118"/>
      <c r="AV142" s="118"/>
      <c r="AW142" s="118"/>
      <c r="AX142" s="118"/>
      <c r="AY142" s="118"/>
      <c r="AZ142" s="118"/>
      <c r="BA142" s="118"/>
      <c r="BB142" s="118"/>
      <c r="BC142" s="118"/>
      <c r="BD142" s="118"/>
      <c r="BE142" s="118"/>
      <c r="BF142" s="118"/>
      <c r="BG142" s="118"/>
      <c r="BH142" s="118"/>
      <c r="BI142" s="118"/>
      <c r="BJ142" s="118"/>
      <c r="BK142" s="118"/>
      <c r="BL142" s="118"/>
      <c r="BM142" s="118"/>
      <c r="BN142" s="118"/>
      <c r="BO142" s="118"/>
      <c r="BP142" s="118"/>
      <c r="BQ142" s="118"/>
      <c r="BR142" s="118"/>
      <c r="BS142" s="118"/>
      <c r="BT142" s="118"/>
    </row>
    <row r="143" spans="1:72" s="611" customFormat="1" ht="15.75" customHeight="1" x14ac:dyDescent="0.2">
      <c r="A143" s="529"/>
      <c r="B143" s="530"/>
      <c r="C143" s="548"/>
      <c r="D143" s="531"/>
      <c r="E143" s="531"/>
      <c r="F143" s="541"/>
      <c r="G143" s="612">
        <f>SUM(G144)</f>
        <v>7400.67</v>
      </c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  <c r="AP143" s="118"/>
      <c r="AQ143" s="118"/>
      <c r="AR143" s="118"/>
      <c r="AS143" s="118"/>
      <c r="AT143" s="118"/>
      <c r="AU143" s="118"/>
      <c r="AV143" s="118"/>
      <c r="AW143" s="118"/>
      <c r="AX143" s="118"/>
      <c r="AY143" s="118"/>
      <c r="AZ143" s="118"/>
      <c r="BA143" s="118"/>
      <c r="BB143" s="118"/>
      <c r="BC143" s="118"/>
      <c r="BD143" s="118"/>
      <c r="BE143" s="118"/>
      <c r="BF143" s="118"/>
      <c r="BG143" s="118"/>
      <c r="BH143" s="118"/>
      <c r="BI143" s="118"/>
      <c r="BJ143" s="118"/>
      <c r="BK143" s="118"/>
      <c r="BL143" s="118"/>
      <c r="BM143" s="118"/>
      <c r="BN143" s="118"/>
      <c r="BO143" s="118"/>
      <c r="BP143" s="118"/>
      <c r="BQ143" s="118"/>
      <c r="BR143" s="118"/>
      <c r="BS143" s="118"/>
      <c r="BT143" s="118"/>
    </row>
    <row r="144" spans="1:72" s="611" customFormat="1" ht="15.75" customHeight="1" x14ac:dyDescent="0.2">
      <c r="A144" s="529"/>
      <c r="B144" s="530"/>
      <c r="C144" s="548"/>
      <c r="D144" s="531"/>
      <c r="E144" s="531" t="s">
        <v>192</v>
      </c>
      <c r="F144" s="541" t="s">
        <v>321</v>
      </c>
      <c r="G144" s="542">
        <f>741.67+861+776+10353+828+796-8665+856+854</f>
        <v>7400.67</v>
      </c>
      <c r="H144" s="118"/>
      <c r="I144" s="118"/>
      <c r="J144" s="118"/>
      <c r="K144" s="118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  <c r="AS144" s="118"/>
      <c r="AT144" s="118"/>
      <c r="AU144" s="118"/>
      <c r="AV144" s="118"/>
      <c r="AW144" s="118"/>
      <c r="AX144" s="118"/>
      <c r="AY144" s="118"/>
      <c r="AZ144" s="118"/>
      <c r="BA144" s="118"/>
      <c r="BB144" s="118"/>
      <c r="BC144" s="118"/>
      <c r="BD144" s="118"/>
      <c r="BE144" s="118"/>
      <c r="BF144" s="118"/>
      <c r="BG144" s="118"/>
      <c r="BH144" s="118"/>
      <c r="BI144" s="118"/>
      <c r="BJ144" s="118"/>
      <c r="BK144" s="118"/>
      <c r="BL144" s="118"/>
      <c r="BM144" s="118"/>
      <c r="BN144" s="118"/>
      <c r="BO144" s="118"/>
      <c r="BP144" s="118"/>
      <c r="BQ144" s="118"/>
      <c r="BR144" s="118"/>
      <c r="BS144" s="118"/>
      <c r="BT144" s="118"/>
    </row>
    <row r="145" spans="1:72" s="611" customFormat="1" ht="6" customHeight="1" x14ac:dyDescent="0.2">
      <c r="A145" s="529"/>
      <c r="B145" s="530"/>
      <c r="C145" s="548"/>
      <c r="D145" s="531"/>
      <c r="E145" s="532"/>
      <c r="F145" s="534"/>
      <c r="G145" s="546"/>
      <c r="H145" s="118"/>
      <c r="I145" s="118"/>
      <c r="J145" s="118"/>
      <c r="K145" s="118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  <c r="AT145" s="118"/>
      <c r="AU145" s="118"/>
      <c r="AV145" s="118"/>
      <c r="AW145" s="118"/>
      <c r="AX145" s="118"/>
      <c r="AY145" s="118"/>
      <c r="AZ145" s="118"/>
      <c r="BA145" s="118"/>
      <c r="BB145" s="118"/>
      <c r="BC145" s="118"/>
      <c r="BD145" s="118"/>
      <c r="BE145" s="118"/>
      <c r="BF145" s="118"/>
      <c r="BG145" s="118"/>
      <c r="BH145" s="118"/>
      <c r="BI145" s="118"/>
      <c r="BJ145" s="118"/>
      <c r="BK145" s="118"/>
      <c r="BL145" s="118"/>
      <c r="BM145" s="118"/>
      <c r="BN145" s="118"/>
      <c r="BO145" s="118"/>
      <c r="BP145" s="118"/>
      <c r="BQ145" s="118"/>
      <c r="BR145" s="118"/>
      <c r="BS145" s="118"/>
      <c r="BT145" s="118"/>
    </row>
    <row r="146" spans="1:72" s="611" customFormat="1" ht="18.75" customHeight="1" x14ac:dyDescent="0.2">
      <c r="A146" s="529"/>
      <c r="B146" s="613" t="s">
        <v>19</v>
      </c>
      <c r="C146" s="531" t="s">
        <v>526</v>
      </c>
      <c r="D146" s="531" t="s">
        <v>534</v>
      </c>
      <c r="E146" s="532" t="s">
        <v>321</v>
      </c>
      <c r="F146" s="534" t="s">
        <v>321</v>
      </c>
      <c r="G146" s="533">
        <f>SUM(G148)</f>
        <v>142977.75</v>
      </c>
      <c r="H146" s="118"/>
      <c r="I146" s="118"/>
      <c r="J146" s="118"/>
      <c r="K146" s="118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  <c r="AS146" s="118"/>
      <c r="AT146" s="118"/>
      <c r="AU146" s="118"/>
      <c r="AV146" s="118"/>
      <c r="AW146" s="118"/>
      <c r="AX146" s="118"/>
      <c r="AY146" s="118"/>
      <c r="AZ146" s="118"/>
      <c r="BA146" s="118"/>
      <c r="BB146" s="118"/>
      <c r="BC146" s="118"/>
      <c r="BD146" s="118"/>
      <c r="BE146" s="118"/>
      <c r="BF146" s="118"/>
      <c r="BG146" s="118"/>
      <c r="BH146" s="118"/>
      <c r="BI146" s="118"/>
      <c r="BJ146" s="118"/>
      <c r="BK146" s="118"/>
      <c r="BL146" s="118"/>
      <c r="BM146" s="118"/>
      <c r="BN146" s="118"/>
      <c r="BO146" s="118"/>
      <c r="BP146" s="118"/>
      <c r="BQ146" s="118"/>
      <c r="BR146" s="118"/>
      <c r="BS146" s="118"/>
      <c r="BT146" s="118"/>
    </row>
    <row r="147" spans="1:72" s="611" customFormat="1" ht="6" customHeight="1" x14ac:dyDescent="0.2">
      <c r="A147" s="529"/>
      <c r="B147" s="530"/>
      <c r="C147" s="548"/>
      <c r="D147" s="531"/>
      <c r="E147" s="531"/>
      <c r="F147" s="541"/>
      <c r="G147" s="542"/>
      <c r="H147" s="118"/>
      <c r="I147" s="118"/>
      <c r="J147" s="118"/>
      <c r="K147" s="118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  <c r="AS147" s="118"/>
      <c r="AT147" s="118"/>
      <c r="AU147" s="118"/>
      <c r="AV147" s="118"/>
      <c r="AW147" s="118"/>
      <c r="AX147" s="118"/>
      <c r="AY147" s="118"/>
      <c r="AZ147" s="118"/>
      <c r="BA147" s="118"/>
      <c r="BB147" s="118"/>
      <c r="BC147" s="118"/>
      <c r="BD147" s="118"/>
      <c r="BE147" s="118"/>
      <c r="BF147" s="118"/>
      <c r="BG147" s="118"/>
      <c r="BH147" s="118"/>
      <c r="BI147" s="118"/>
      <c r="BJ147" s="118"/>
      <c r="BK147" s="118"/>
      <c r="BL147" s="118"/>
      <c r="BM147" s="118"/>
      <c r="BN147" s="118"/>
      <c r="BO147" s="118"/>
      <c r="BP147" s="118"/>
      <c r="BQ147" s="118"/>
      <c r="BR147" s="118"/>
      <c r="BS147" s="118"/>
      <c r="BT147" s="118"/>
    </row>
    <row r="148" spans="1:72" s="611" customFormat="1" ht="15.75" customHeight="1" x14ac:dyDescent="0.2">
      <c r="A148" s="529"/>
      <c r="B148" s="530"/>
      <c r="C148" s="548"/>
      <c r="D148" s="531"/>
      <c r="E148" s="531"/>
      <c r="F148" s="541"/>
      <c r="G148" s="612">
        <f>SUM(G149:G153)</f>
        <v>142977.75</v>
      </c>
      <c r="H148" s="118"/>
      <c r="I148" s="118"/>
      <c r="J148" s="118"/>
      <c r="K148" s="118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  <c r="AS148" s="118"/>
      <c r="AT148" s="118"/>
      <c r="AU148" s="118"/>
      <c r="AV148" s="118"/>
      <c r="AW148" s="118"/>
      <c r="AX148" s="118"/>
      <c r="AY148" s="118"/>
      <c r="AZ148" s="118"/>
      <c r="BA148" s="118"/>
      <c r="BB148" s="118"/>
      <c r="BC148" s="118"/>
      <c r="BD148" s="118"/>
      <c r="BE148" s="118"/>
      <c r="BF148" s="118"/>
      <c r="BG148" s="118"/>
      <c r="BH148" s="118"/>
      <c r="BI148" s="118"/>
      <c r="BJ148" s="118"/>
      <c r="BK148" s="118"/>
      <c r="BL148" s="118"/>
      <c r="BM148" s="118"/>
      <c r="BN148" s="118"/>
      <c r="BO148" s="118"/>
      <c r="BP148" s="118"/>
      <c r="BQ148" s="118"/>
      <c r="BR148" s="118"/>
      <c r="BS148" s="118"/>
      <c r="BT148" s="118"/>
    </row>
    <row r="149" spans="1:72" s="611" customFormat="1" ht="15.75" customHeight="1" x14ac:dyDescent="0.2">
      <c r="A149" s="529"/>
      <c r="B149" s="530"/>
      <c r="C149" s="548"/>
      <c r="D149" s="531"/>
      <c r="E149" s="531" t="s">
        <v>41</v>
      </c>
      <c r="F149" s="541" t="s">
        <v>321</v>
      </c>
      <c r="G149" s="542">
        <f>14616.75+1000+7819+34972+11749</f>
        <v>70156.75</v>
      </c>
      <c r="H149" s="118"/>
      <c r="I149" s="118"/>
      <c r="J149" s="118"/>
      <c r="K149" s="118"/>
      <c r="L149" s="118"/>
      <c r="M149" s="118"/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18"/>
      <c r="AS149" s="118"/>
      <c r="AT149" s="118"/>
      <c r="AU149" s="118"/>
      <c r="AV149" s="118"/>
      <c r="AW149" s="118"/>
      <c r="AX149" s="118"/>
      <c r="AY149" s="118"/>
      <c r="AZ149" s="118"/>
      <c r="BA149" s="118"/>
      <c r="BB149" s="118"/>
      <c r="BC149" s="118"/>
      <c r="BD149" s="118"/>
      <c r="BE149" s="118"/>
      <c r="BF149" s="118"/>
      <c r="BG149" s="118"/>
      <c r="BH149" s="118"/>
      <c r="BI149" s="118"/>
      <c r="BJ149" s="118"/>
      <c r="BK149" s="118"/>
      <c r="BL149" s="118"/>
      <c r="BM149" s="118"/>
      <c r="BN149" s="118"/>
      <c r="BO149" s="118"/>
      <c r="BP149" s="118"/>
      <c r="BQ149" s="118"/>
      <c r="BR149" s="118"/>
      <c r="BS149" s="118"/>
      <c r="BT149" s="118"/>
    </row>
    <row r="150" spans="1:72" s="611" customFormat="1" ht="15.75" customHeight="1" x14ac:dyDescent="0.2">
      <c r="A150" s="529"/>
      <c r="B150" s="530"/>
      <c r="C150" s="548"/>
      <c r="D150" s="531"/>
      <c r="E150" s="531" t="s">
        <v>515</v>
      </c>
      <c r="F150" s="541" t="s">
        <v>321</v>
      </c>
      <c r="G150" s="542">
        <f>530+150-100</f>
        <v>580</v>
      </c>
      <c r="H150" s="118"/>
      <c r="I150" s="118"/>
      <c r="J150" s="118"/>
      <c r="K150" s="118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18"/>
      <c r="AS150" s="118"/>
      <c r="AT150" s="118"/>
      <c r="AU150" s="118"/>
      <c r="AV150" s="118"/>
      <c r="AW150" s="118"/>
      <c r="AX150" s="118"/>
      <c r="AY150" s="118"/>
      <c r="AZ150" s="118"/>
      <c r="BA150" s="118"/>
      <c r="BB150" s="118"/>
      <c r="BC150" s="118"/>
      <c r="BD150" s="118"/>
      <c r="BE150" s="118"/>
      <c r="BF150" s="118"/>
      <c r="BG150" s="118"/>
      <c r="BH150" s="118"/>
      <c r="BI150" s="118"/>
      <c r="BJ150" s="118"/>
      <c r="BK150" s="118"/>
      <c r="BL150" s="118"/>
      <c r="BM150" s="118"/>
      <c r="BN150" s="118"/>
      <c r="BO150" s="118"/>
      <c r="BP150" s="118"/>
      <c r="BQ150" s="118"/>
      <c r="BR150" s="118"/>
      <c r="BS150" s="118"/>
      <c r="BT150" s="118"/>
    </row>
    <row r="151" spans="1:72" s="611" customFormat="1" ht="15.75" customHeight="1" x14ac:dyDescent="0.2">
      <c r="A151" s="529"/>
      <c r="B151" s="530"/>
      <c r="C151" s="548"/>
      <c r="D151" s="531"/>
      <c r="E151" s="531" t="s">
        <v>528</v>
      </c>
      <c r="F151" s="541" t="s">
        <v>321</v>
      </c>
      <c r="G151" s="542">
        <f>8879+10058+9065+2972+14457+8521-15798+9732</f>
        <v>47886</v>
      </c>
      <c r="H151" s="118"/>
      <c r="I151" s="118"/>
      <c r="J151" s="118"/>
      <c r="K151" s="118"/>
      <c r="L151" s="118"/>
      <c r="M151" s="118"/>
      <c r="N151" s="118"/>
      <c r="O151" s="118"/>
      <c r="P151" s="118"/>
      <c r="Q151" s="118"/>
      <c r="R151" s="118"/>
      <c r="S151" s="118"/>
      <c r="T151" s="118"/>
      <c r="U151" s="118"/>
      <c r="V151" s="118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  <c r="AP151" s="118"/>
      <c r="AQ151" s="118"/>
      <c r="AR151" s="118"/>
      <c r="AS151" s="118"/>
      <c r="AT151" s="118"/>
      <c r="AU151" s="118"/>
      <c r="AV151" s="118"/>
      <c r="AW151" s="118"/>
      <c r="AX151" s="118"/>
      <c r="AY151" s="118"/>
      <c r="AZ151" s="118"/>
      <c r="BA151" s="118"/>
      <c r="BB151" s="118"/>
      <c r="BC151" s="118"/>
      <c r="BD151" s="118"/>
      <c r="BE151" s="118"/>
      <c r="BF151" s="118"/>
      <c r="BG151" s="118"/>
      <c r="BH151" s="118"/>
      <c r="BI151" s="118"/>
      <c r="BJ151" s="118"/>
      <c r="BK151" s="118"/>
      <c r="BL151" s="118"/>
      <c r="BM151" s="118"/>
      <c r="BN151" s="118"/>
      <c r="BO151" s="118"/>
      <c r="BP151" s="118"/>
      <c r="BQ151" s="118"/>
      <c r="BR151" s="118"/>
      <c r="BS151" s="118"/>
      <c r="BT151" s="118"/>
    </row>
    <row r="152" spans="1:72" s="611" customFormat="1" ht="15.75" customHeight="1" x14ac:dyDescent="0.2">
      <c r="A152" s="529"/>
      <c r="B152" s="530"/>
      <c r="C152" s="548"/>
      <c r="D152" s="531"/>
      <c r="E152" s="531" t="s">
        <v>505</v>
      </c>
      <c r="F152" s="541" t="s">
        <v>321</v>
      </c>
      <c r="G152" s="542">
        <f>2170+2458+2216+1210+3500-3699+2000</f>
        <v>9855</v>
      </c>
      <c r="H152" s="118"/>
      <c r="I152" s="118"/>
      <c r="J152" s="118"/>
      <c r="K152" s="118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  <c r="AP152" s="118"/>
      <c r="AQ152" s="118"/>
      <c r="AR152" s="118"/>
      <c r="AS152" s="118"/>
      <c r="AT152" s="118"/>
      <c r="AU152" s="118"/>
      <c r="AV152" s="118"/>
      <c r="AW152" s="118"/>
      <c r="AX152" s="118"/>
      <c r="AY152" s="118"/>
      <c r="AZ152" s="118"/>
      <c r="BA152" s="118"/>
      <c r="BB152" s="118"/>
      <c r="BC152" s="118"/>
      <c r="BD152" s="118"/>
      <c r="BE152" s="118"/>
      <c r="BF152" s="118"/>
      <c r="BG152" s="118"/>
      <c r="BH152" s="118"/>
      <c r="BI152" s="118"/>
      <c r="BJ152" s="118"/>
      <c r="BK152" s="118"/>
      <c r="BL152" s="118"/>
      <c r="BM152" s="118"/>
      <c r="BN152" s="118"/>
      <c r="BO152" s="118"/>
      <c r="BP152" s="118"/>
      <c r="BQ152" s="118"/>
      <c r="BR152" s="118"/>
      <c r="BS152" s="118"/>
      <c r="BT152" s="118"/>
    </row>
    <row r="153" spans="1:72" s="611" customFormat="1" ht="15.75" customHeight="1" x14ac:dyDescent="0.2">
      <c r="A153" s="529"/>
      <c r="B153" s="530"/>
      <c r="C153" s="548"/>
      <c r="D153" s="531"/>
      <c r="E153" s="531" t="s">
        <v>516</v>
      </c>
      <c r="F153" s="541" t="s">
        <v>321</v>
      </c>
      <c r="G153" s="542">
        <f>8946+9554-4000</f>
        <v>14500</v>
      </c>
      <c r="H153" s="118"/>
      <c r="I153" s="118"/>
      <c r="J153" s="118"/>
      <c r="K153" s="118"/>
      <c r="L153" s="118"/>
      <c r="M153" s="118"/>
      <c r="N153" s="118"/>
      <c r="O153" s="118"/>
      <c r="P153" s="118"/>
      <c r="Q153" s="118"/>
      <c r="R153" s="118"/>
      <c r="S153" s="118"/>
      <c r="T153" s="118"/>
      <c r="U153" s="118"/>
      <c r="V153" s="118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  <c r="AP153" s="118"/>
      <c r="AQ153" s="118"/>
      <c r="AR153" s="118"/>
      <c r="AS153" s="118"/>
      <c r="AT153" s="118"/>
      <c r="AU153" s="118"/>
      <c r="AV153" s="118"/>
      <c r="AW153" s="118"/>
      <c r="AX153" s="118"/>
      <c r="AY153" s="118"/>
      <c r="AZ153" s="118"/>
      <c r="BA153" s="118"/>
      <c r="BB153" s="118"/>
      <c r="BC153" s="118"/>
      <c r="BD153" s="118"/>
      <c r="BE153" s="118"/>
      <c r="BF153" s="118"/>
      <c r="BG153" s="118"/>
      <c r="BH153" s="118"/>
      <c r="BI153" s="118"/>
      <c r="BJ153" s="118"/>
      <c r="BK153" s="118"/>
      <c r="BL153" s="118"/>
      <c r="BM153" s="118"/>
      <c r="BN153" s="118"/>
      <c r="BO153" s="118"/>
      <c r="BP153" s="118"/>
      <c r="BQ153" s="118"/>
      <c r="BR153" s="118"/>
      <c r="BS153" s="118"/>
      <c r="BT153" s="118"/>
    </row>
    <row r="154" spans="1:72" s="611" customFormat="1" ht="6" customHeight="1" x14ac:dyDescent="0.2">
      <c r="A154" s="529"/>
      <c r="B154" s="530"/>
      <c r="C154" s="548"/>
      <c r="D154" s="531"/>
      <c r="E154" s="531"/>
      <c r="F154" s="541"/>
      <c r="G154" s="542"/>
      <c r="H154" s="118"/>
      <c r="I154" s="118"/>
      <c r="J154" s="118"/>
      <c r="K154" s="118"/>
      <c r="L154" s="118"/>
      <c r="M154" s="118"/>
      <c r="N154" s="118"/>
      <c r="O154" s="118"/>
      <c r="P154" s="118"/>
      <c r="Q154" s="118"/>
      <c r="R154" s="118"/>
      <c r="S154" s="118"/>
      <c r="T154" s="118"/>
      <c r="U154" s="118"/>
      <c r="V154" s="118"/>
      <c r="W154" s="118"/>
      <c r="X154" s="118"/>
      <c r="Y154" s="118"/>
      <c r="Z154" s="118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18"/>
      <c r="AK154" s="118"/>
      <c r="AL154" s="118"/>
      <c r="AM154" s="118"/>
      <c r="AN154" s="118"/>
      <c r="AO154" s="118"/>
      <c r="AP154" s="118"/>
      <c r="AQ154" s="118"/>
      <c r="AR154" s="118"/>
      <c r="AS154" s="118"/>
      <c r="AT154" s="118"/>
      <c r="AU154" s="118"/>
      <c r="AV154" s="118"/>
      <c r="AW154" s="118"/>
      <c r="AX154" s="118"/>
      <c r="AY154" s="118"/>
      <c r="AZ154" s="118"/>
      <c r="BA154" s="118"/>
      <c r="BB154" s="118"/>
      <c r="BC154" s="118"/>
      <c r="BD154" s="118"/>
      <c r="BE154" s="118"/>
      <c r="BF154" s="118"/>
      <c r="BG154" s="118"/>
      <c r="BH154" s="118"/>
      <c r="BI154" s="118"/>
      <c r="BJ154" s="118"/>
      <c r="BK154" s="118"/>
      <c r="BL154" s="118"/>
      <c r="BM154" s="118"/>
      <c r="BN154" s="118"/>
      <c r="BO154" s="118"/>
      <c r="BP154" s="118"/>
      <c r="BQ154" s="118"/>
      <c r="BR154" s="118"/>
      <c r="BS154" s="118"/>
      <c r="BT154" s="118"/>
    </row>
    <row r="155" spans="1:72" s="611" customFormat="1" ht="15.75" customHeight="1" x14ac:dyDescent="0.2">
      <c r="A155" s="529"/>
      <c r="B155" s="613" t="s">
        <v>185</v>
      </c>
      <c r="C155" s="531" t="s">
        <v>526</v>
      </c>
      <c r="D155" s="531" t="s">
        <v>534</v>
      </c>
      <c r="E155" s="537" t="s">
        <v>321</v>
      </c>
      <c r="F155" s="538" t="s">
        <v>321</v>
      </c>
      <c r="G155" s="539">
        <f>SUM(G157)</f>
        <v>88913.4</v>
      </c>
      <c r="H155" s="118"/>
      <c r="I155" s="118"/>
      <c r="J155" s="118"/>
      <c r="K155" s="118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  <c r="AL155" s="118"/>
      <c r="AM155" s="118"/>
      <c r="AN155" s="118"/>
      <c r="AO155" s="118"/>
      <c r="AP155" s="118"/>
      <c r="AQ155" s="118"/>
      <c r="AR155" s="118"/>
      <c r="AS155" s="118"/>
      <c r="AT155" s="118"/>
      <c r="AU155" s="118"/>
      <c r="AV155" s="118"/>
      <c r="AW155" s="118"/>
      <c r="AX155" s="118"/>
      <c r="AY155" s="118"/>
      <c r="AZ155" s="118"/>
      <c r="BA155" s="118"/>
      <c r="BB155" s="118"/>
      <c r="BC155" s="118"/>
      <c r="BD155" s="118"/>
      <c r="BE155" s="118"/>
      <c r="BF155" s="118"/>
      <c r="BG155" s="118"/>
      <c r="BH155" s="118"/>
      <c r="BI155" s="118"/>
      <c r="BJ155" s="118"/>
      <c r="BK155" s="118"/>
      <c r="BL155" s="118"/>
      <c r="BM155" s="118"/>
      <c r="BN155" s="118"/>
      <c r="BO155" s="118"/>
      <c r="BP155" s="118"/>
      <c r="BQ155" s="118"/>
      <c r="BR155" s="118"/>
      <c r="BS155" s="118"/>
      <c r="BT155" s="118"/>
    </row>
    <row r="156" spans="1:72" s="611" customFormat="1" ht="6" customHeight="1" x14ac:dyDescent="0.2">
      <c r="A156" s="529"/>
      <c r="B156" s="530"/>
      <c r="C156" s="548"/>
      <c r="D156" s="531"/>
      <c r="E156" s="531"/>
      <c r="F156" s="541"/>
      <c r="G156" s="542"/>
      <c r="H156" s="118"/>
      <c r="I156" s="118"/>
      <c r="J156" s="118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  <c r="AP156" s="118"/>
      <c r="AQ156" s="118"/>
      <c r="AR156" s="118"/>
      <c r="AS156" s="118"/>
      <c r="AT156" s="118"/>
      <c r="AU156" s="118"/>
      <c r="AV156" s="118"/>
      <c r="AW156" s="118"/>
      <c r="AX156" s="118"/>
      <c r="AY156" s="118"/>
      <c r="AZ156" s="118"/>
      <c r="BA156" s="118"/>
      <c r="BB156" s="118"/>
      <c r="BC156" s="118"/>
      <c r="BD156" s="118"/>
      <c r="BE156" s="118"/>
      <c r="BF156" s="118"/>
      <c r="BG156" s="118"/>
      <c r="BH156" s="118"/>
      <c r="BI156" s="118"/>
      <c r="BJ156" s="118"/>
      <c r="BK156" s="118"/>
      <c r="BL156" s="118"/>
      <c r="BM156" s="118"/>
      <c r="BN156" s="118"/>
      <c r="BO156" s="118"/>
      <c r="BP156" s="118"/>
      <c r="BQ156" s="118"/>
      <c r="BR156" s="118"/>
      <c r="BS156" s="118"/>
      <c r="BT156" s="118"/>
    </row>
    <row r="157" spans="1:72" s="611" customFormat="1" ht="15.75" customHeight="1" x14ac:dyDescent="0.2">
      <c r="A157" s="529"/>
      <c r="B157" s="530"/>
      <c r="C157" s="548"/>
      <c r="D157" s="531"/>
      <c r="E157" s="531"/>
      <c r="F157" s="541"/>
      <c r="G157" s="612">
        <f>SUM(G158)</f>
        <v>88913.4</v>
      </c>
      <c r="H157" s="118"/>
      <c r="I157" s="118"/>
      <c r="J157" s="118"/>
      <c r="K157" s="118"/>
      <c r="L157" s="118"/>
      <c r="M157" s="118"/>
      <c r="N157" s="118"/>
      <c r="O157" s="118"/>
      <c r="P157" s="118"/>
      <c r="Q157" s="118"/>
      <c r="R157" s="118"/>
      <c r="S157" s="118"/>
      <c r="T157" s="118"/>
      <c r="U157" s="118"/>
      <c r="V157" s="118"/>
      <c r="W157" s="118"/>
      <c r="X157" s="118"/>
      <c r="Y157" s="118"/>
      <c r="Z157" s="118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  <c r="AL157" s="118"/>
      <c r="AM157" s="118"/>
      <c r="AN157" s="118"/>
      <c r="AO157" s="118"/>
      <c r="AP157" s="118"/>
      <c r="AQ157" s="118"/>
      <c r="AR157" s="118"/>
      <c r="AS157" s="118"/>
      <c r="AT157" s="118"/>
      <c r="AU157" s="118"/>
      <c r="AV157" s="118"/>
      <c r="AW157" s="118"/>
      <c r="AX157" s="118"/>
      <c r="AY157" s="118"/>
      <c r="AZ157" s="118"/>
      <c r="BA157" s="118"/>
      <c r="BB157" s="118"/>
      <c r="BC157" s="118"/>
      <c r="BD157" s="118"/>
      <c r="BE157" s="118"/>
      <c r="BF157" s="118"/>
      <c r="BG157" s="118"/>
      <c r="BH157" s="118"/>
      <c r="BI157" s="118"/>
      <c r="BJ157" s="118"/>
      <c r="BK157" s="118"/>
      <c r="BL157" s="118"/>
      <c r="BM157" s="118"/>
      <c r="BN157" s="118"/>
      <c r="BO157" s="118"/>
      <c r="BP157" s="118"/>
      <c r="BQ157" s="118"/>
      <c r="BR157" s="118"/>
      <c r="BS157" s="118"/>
      <c r="BT157" s="118"/>
    </row>
    <row r="158" spans="1:72" s="611" customFormat="1" ht="15.75" customHeight="1" x14ac:dyDescent="0.2">
      <c r="A158" s="529"/>
      <c r="B158" s="530"/>
      <c r="C158" s="548"/>
      <c r="D158" s="531"/>
      <c r="E158" s="531" t="s">
        <v>192</v>
      </c>
      <c r="F158" s="541" t="s">
        <v>321</v>
      </c>
      <c r="G158" s="542">
        <f>8442.4+10140+9354+859+9992+9982+19497+10331+10316</f>
        <v>88913.4</v>
      </c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  <c r="AP158" s="118"/>
      <c r="AQ158" s="118"/>
      <c r="AR158" s="118"/>
      <c r="AS158" s="118"/>
      <c r="AT158" s="118"/>
      <c r="AU158" s="118"/>
      <c r="AV158" s="118"/>
      <c r="AW158" s="118"/>
      <c r="AX158" s="118"/>
      <c r="AY158" s="118"/>
      <c r="AZ158" s="118"/>
      <c r="BA158" s="118"/>
      <c r="BB158" s="118"/>
      <c r="BC158" s="118"/>
      <c r="BD158" s="118"/>
      <c r="BE158" s="118"/>
      <c r="BF158" s="118"/>
      <c r="BG158" s="118"/>
      <c r="BH158" s="118"/>
      <c r="BI158" s="118"/>
      <c r="BJ158" s="118"/>
      <c r="BK158" s="118"/>
      <c r="BL158" s="118"/>
      <c r="BM158" s="118"/>
      <c r="BN158" s="118"/>
      <c r="BO158" s="118"/>
      <c r="BP158" s="118"/>
      <c r="BQ158" s="118"/>
      <c r="BR158" s="118"/>
      <c r="BS158" s="118"/>
      <c r="BT158" s="118"/>
    </row>
    <row r="159" spans="1:72" s="611" customFormat="1" ht="11.25" customHeight="1" x14ac:dyDescent="0.2">
      <c r="A159" s="529"/>
      <c r="B159" s="530"/>
      <c r="C159" s="548"/>
      <c r="D159" s="531"/>
      <c r="E159" s="531"/>
      <c r="F159" s="541"/>
      <c r="G159" s="542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18"/>
      <c r="V159" s="118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18"/>
      <c r="AM159" s="118"/>
      <c r="AN159" s="118"/>
      <c r="AO159" s="118"/>
      <c r="AP159" s="118"/>
      <c r="AQ159" s="118"/>
      <c r="AR159" s="118"/>
      <c r="AS159" s="118"/>
      <c r="AT159" s="118"/>
      <c r="AU159" s="118"/>
      <c r="AV159" s="118"/>
      <c r="AW159" s="118"/>
      <c r="AX159" s="118"/>
      <c r="AY159" s="118"/>
      <c r="AZ159" s="118"/>
      <c r="BA159" s="118"/>
      <c r="BB159" s="118"/>
      <c r="BC159" s="118"/>
      <c r="BD159" s="118"/>
      <c r="BE159" s="118"/>
      <c r="BF159" s="118"/>
      <c r="BG159" s="118"/>
      <c r="BH159" s="118"/>
      <c r="BI159" s="118"/>
      <c r="BJ159" s="118"/>
      <c r="BK159" s="118"/>
      <c r="BL159" s="118"/>
      <c r="BM159" s="118"/>
      <c r="BN159" s="118"/>
      <c r="BO159" s="118"/>
      <c r="BP159" s="118"/>
      <c r="BQ159" s="118"/>
      <c r="BR159" s="118"/>
      <c r="BS159" s="118"/>
      <c r="BT159" s="118"/>
    </row>
    <row r="160" spans="1:72" s="611" customFormat="1" ht="15.75" customHeight="1" x14ac:dyDescent="0.2">
      <c r="A160" s="529"/>
      <c r="B160" s="613" t="s">
        <v>19</v>
      </c>
      <c r="C160" s="531" t="s">
        <v>526</v>
      </c>
      <c r="D160" s="531" t="s">
        <v>535</v>
      </c>
      <c r="E160" s="537" t="s">
        <v>321</v>
      </c>
      <c r="F160" s="538" t="s">
        <v>321</v>
      </c>
      <c r="G160" s="539">
        <f>SUM(G162)</f>
        <v>52236.78</v>
      </c>
      <c r="H160" s="118"/>
      <c r="I160" s="118"/>
      <c r="J160" s="118"/>
      <c r="K160" s="118"/>
      <c r="L160" s="118"/>
      <c r="M160" s="118"/>
      <c r="N160" s="118"/>
      <c r="O160" s="118"/>
      <c r="P160" s="118"/>
      <c r="Q160" s="118"/>
      <c r="R160" s="118"/>
      <c r="S160" s="118"/>
      <c r="T160" s="118"/>
      <c r="U160" s="118"/>
      <c r="V160" s="118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  <c r="AL160" s="118"/>
      <c r="AM160" s="118"/>
      <c r="AN160" s="118"/>
      <c r="AO160" s="118"/>
      <c r="AP160" s="118"/>
      <c r="AQ160" s="118"/>
      <c r="AR160" s="118"/>
      <c r="AS160" s="118"/>
      <c r="AT160" s="118"/>
      <c r="AU160" s="118"/>
      <c r="AV160" s="118"/>
      <c r="AW160" s="118"/>
      <c r="AX160" s="118"/>
      <c r="AY160" s="118"/>
      <c r="AZ160" s="118"/>
      <c r="BA160" s="118"/>
      <c r="BB160" s="118"/>
      <c r="BC160" s="118"/>
      <c r="BD160" s="118"/>
      <c r="BE160" s="118"/>
      <c r="BF160" s="118"/>
      <c r="BG160" s="118"/>
      <c r="BH160" s="118"/>
      <c r="BI160" s="118"/>
      <c r="BJ160" s="118"/>
      <c r="BK160" s="118"/>
      <c r="BL160" s="118"/>
      <c r="BM160" s="118"/>
      <c r="BN160" s="118"/>
      <c r="BO160" s="118"/>
      <c r="BP160" s="118"/>
      <c r="BQ160" s="118"/>
      <c r="BR160" s="118"/>
      <c r="BS160" s="118"/>
      <c r="BT160" s="118"/>
    </row>
    <row r="161" spans="1:72" s="611" customFormat="1" ht="9" customHeight="1" x14ac:dyDescent="0.2">
      <c r="A161" s="529"/>
      <c r="B161" s="530"/>
      <c r="C161" s="548"/>
      <c r="D161" s="531"/>
      <c r="E161" s="531"/>
      <c r="F161" s="541"/>
      <c r="G161" s="542"/>
      <c r="H161" s="118"/>
      <c r="I161" s="118"/>
      <c r="J161" s="118"/>
      <c r="K161" s="118"/>
      <c r="L161" s="118"/>
      <c r="M161" s="118"/>
      <c r="N161" s="118"/>
      <c r="O161" s="118"/>
      <c r="P161" s="118"/>
      <c r="Q161" s="118"/>
      <c r="R161" s="118"/>
      <c r="S161" s="118"/>
      <c r="T161" s="118"/>
      <c r="U161" s="118"/>
      <c r="V161" s="118"/>
      <c r="W161" s="118"/>
      <c r="X161" s="118"/>
      <c r="Y161" s="118"/>
      <c r="Z161" s="118"/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  <c r="AL161" s="118"/>
      <c r="AM161" s="118"/>
      <c r="AN161" s="118"/>
      <c r="AO161" s="118"/>
      <c r="AP161" s="118"/>
      <c r="AQ161" s="118"/>
      <c r="AR161" s="118"/>
      <c r="AS161" s="118"/>
      <c r="AT161" s="118"/>
      <c r="AU161" s="118"/>
      <c r="AV161" s="118"/>
      <c r="AW161" s="118"/>
      <c r="AX161" s="118"/>
      <c r="AY161" s="118"/>
      <c r="AZ161" s="118"/>
      <c r="BA161" s="118"/>
      <c r="BB161" s="118"/>
      <c r="BC161" s="118"/>
      <c r="BD161" s="118"/>
      <c r="BE161" s="118"/>
      <c r="BF161" s="118"/>
      <c r="BG161" s="118"/>
      <c r="BH161" s="118"/>
      <c r="BI161" s="118"/>
      <c r="BJ161" s="118"/>
      <c r="BK161" s="118"/>
      <c r="BL161" s="118"/>
      <c r="BM161" s="118"/>
      <c r="BN161" s="118"/>
      <c r="BO161" s="118"/>
      <c r="BP161" s="118"/>
      <c r="BQ161" s="118"/>
      <c r="BR161" s="118"/>
      <c r="BS161" s="118"/>
      <c r="BT161" s="118"/>
    </row>
    <row r="162" spans="1:72" s="611" customFormat="1" ht="15.75" customHeight="1" x14ac:dyDescent="0.2">
      <c r="A162" s="529"/>
      <c r="B162" s="530"/>
      <c r="C162" s="548"/>
      <c r="D162" s="531"/>
      <c r="E162" s="531"/>
      <c r="F162" s="541"/>
      <c r="G162" s="612">
        <f>SUM(G163:G167)</f>
        <v>52236.78</v>
      </c>
      <c r="H162" s="118"/>
      <c r="I162" s="118"/>
      <c r="J162" s="118"/>
      <c r="K162" s="118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  <c r="AL162" s="118"/>
      <c r="AM162" s="118"/>
      <c r="AN162" s="118"/>
      <c r="AO162" s="118"/>
      <c r="AP162" s="118"/>
      <c r="AQ162" s="118"/>
      <c r="AR162" s="118"/>
      <c r="AS162" s="118"/>
      <c r="AT162" s="118"/>
      <c r="AU162" s="118"/>
      <c r="AV162" s="118"/>
      <c r="AW162" s="118"/>
      <c r="AX162" s="118"/>
      <c r="AY162" s="118"/>
      <c r="AZ162" s="118"/>
      <c r="BA162" s="118"/>
      <c r="BB162" s="118"/>
      <c r="BC162" s="118"/>
      <c r="BD162" s="118"/>
      <c r="BE162" s="118"/>
      <c r="BF162" s="118"/>
      <c r="BG162" s="118"/>
      <c r="BH162" s="118"/>
      <c r="BI162" s="118"/>
      <c r="BJ162" s="118"/>
      <c r="BK162" s="118"/>
      <c r="BL162" s="118"/>
      <c r="BM162" s="118"/>
      <c r="BN162" s="118"/>
      <c r="BO162" s="118"/>
      <c r="BP162" s="118"/>
      <c r="BQ162" s="118"/>
      <c r="BR162" s="118"/>
      <c r="BS162" s="118"/>
      <c r="BT162" s="118"/>
    </row>
    <row r="163" spans="1:72" s="611" customFormat="1" ht="15.75" customHeight="1" x14ac:dyDescent="0.2">
      <c r="A163" s="529"/>
      <c r="B163" s="530"/>
      <c r="C163" s="548"/>
      <c r="D163" s="531"/>
      <c r="E163" s="531" t="s">
        <v>41</v>
      </c>
      <c r="F163" s="541" t="s">
        <v>321</v>
      </c>
      <c r="G163" s="542">
        <f>461.78+1000+3872+14334+5924</f>
        <v>25591.78</v>
      </c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/>
      <c r="AP163" s="118"/>
      <c r="AQ163" s="118"/>
      <c r="AR163" s="118"/>
      <c r="AS163" s="118"/>
      <c r="AT163" s="118"/>
      <c r="AU163" s="118"/>
      <c r="AV163" s="118"/>
      <c r="AW163" s="118"/>
      <c r="AX163" s="118"/>
      <c r="AY163" s="118"/>
      <c r="AZ163" s="118"/>
      <c r="BA163" s="118"/>
      <c r="BB163" s="118"/>
      <c r="BC163" s="118"/>
      <c r="BD163" s="118"/>
      <c r="BE163" s="118"/>
      <c r="BF163" s="118"/>
      <c r="BG163" s="118"/>
      <c r="BH163" s="118"/>
      <c r="BI163" s="118"/>
      <c r="BJ163" s="118"/>
      <c r="BK163" s="118"/>
      <c r="BL163" s="118"/>
      <c r="BM163" s="118"/>
      <c r="BN163" s="118"/>
      <c r="BO163" s="118"/>
      <c r="BP163" s="118"/>
      <c r="BQ163" s="118"/>
      <c r="BR163" s="118"/>
      <c r="BS163" s="118"/>
      <c r="BT163" s="118"/>
    </row>
    <row r="164" spans="1:72" s="611" customFormat="1" ht="15.75" customHeight="1" x14ac:dyDescent="0.2">
      <c r="A164" s="529"/>
      <c r="B164" s="530"/>
      <c r="C164" s="548"/>
      <c r="D164" s="531"/>
      <c r="E164" s="531" t="s">
        <v>515</v>
      </c>
      <c r="F164" s="541" t="s">
        <v>321</v>
      </c>
      <c r="G164" s="542">
        <f>100</f>
        <v>100</v>
      </c>
      <c r="H164" s="118"/>
      <c r="I164" s="118"/>
      <c r="J164" s="118"/>
      <c r="K164" s="118"/>
      <c r="L164" s="118"/>
      <c r="M164" s="118"/>
      <c r="N164" s="118"/>
      <c r="O164" s="118"/>
      <c r="P164" s="118"/>
      <c r="Q164" s="118"/>
      <c r="R164" s="118"/>
      <c r="S164" s="118"/>
      <c r="T164" s="118"/>
      <c r="U164" s="118"/>
      <c r="V164" s="118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  <c r="AL164" s="118"/>
      <c r="AM164" s="118"/>
      <c r="AN164" s="118"/>
      <c r="AO164" s="118"/>
      <c r="AP164" s="118"/>
      <c r="AQ164" s="118"/>
      <c r="AR164" s="118"/>
      <c r="AS164" s="118"/>
      <c r="AT164" s="118"/>
      <c r="AU164" s="118"/>
      <c r="AV164" s="118"/>
      <c r="AW164" s="118"/>
      <c r="AX164" s="118"/>
      <c r="AY164" s="118"/>
      <c r="AZ164" s="118"/>
      <c r="BA164" s="118"/>
      <c r="BB164" s="118"/>
      <c r="BC164" s="118"/>
      <c r="BD164" s="118"/>
      <c r="BE164" s="118"/>
      <c r="BF164" s="118"/>
      <c r="BG164" s="118"/>
      <c r="BH164" s="118"/>
      <c r="BI164" s="118"/>
      <c r="BJ164" s="118"/>
      <c r="BK164" s="118"/>
      <c r="BL164" s="118"/>
      <c r="BM164" s="118"/>
      <c r="BN164" s="118"/>
      <c r="BO164" s="118"/>
      <c r="BP164" s="118"/>
      <c r="BQ164" s="118"/>
      <c r="BR164" s="118"/>
      <c r="BS164" s="118"/>
      <c r="BT164" s="118"/>
    </row>
    <row r="165" spans="1:72" s="611" customFormat="1" ht="15.75" customHeight="1" x14ac:dyDescent="0.2">
      <c r="A165" s="529"/>
      <c r="B165" s="530"/>
      <c r="C165" s="548"/>
      <c r="D165" s="531"/>
      <c r="E165" s="531" t="s">
        <v>528</v>
      </c>
      <c r="F165" s="541" t="s">
        <v>321</v>
      </c>
      <c r="G165" s="542">
        <f>4126+4769+4304+1329+4432+2239-7000+4921</f>
        <v>19120</v>
      </c>
      <c r="H165" s="118"/>
      <c r="I165" s="118"/>
      <c r="J165" s="118"/>
      <c r="K165" s="118"/>
      <c r="L165" s="118"/>
      <c r="M165" s="118"/>
      <c r="N165" s="118"/>
      <c r="O165" s="118"/>
      <c r="P165" s="118"/>
      <c r="Q165" s="118"/>
      <c r="R165" s="118"/>
      <c r="S165" s="118"/>
      <c r="T165" s="118"/>
      <c r="U165" s="118"/>
      <c r="V165" s="118"/>
      <c r="W165" s="118"/>
      <c r="X165" s="118"/>
      <c r="Y165" s="118"/>
      <c r="Z165" s="118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  <c r="AL165" s="118"/>
      <c r="AM165" s="118"/>
      <c r="AN165" s="118"/>
      <c r="AO165" s="118"/>
      <c r="AP165" s="118"/>
      <c r="AQ165" s="118"/>
      <c r="AR165" s="118"/>
      <c r="AS165" s="118"/>
      <c r="AT165" s="118"/>
      <c r="AU165" s="118"/>
      <c r="AV165" s="118"/>
      <c r="AW165" s="118"/>
      <c r="AX165" s="118"/>
      <c r="AY165" s="118"/>
      <c r="AZ165" s="118"/>
      <c r="BA165" s="118"/>
      <c r="BB165" s="118"/>
      <c r="BC165" s="118"/>
      <c r="BD165" s="118"/>
      <c r="BE165" s="118"/>
      <c r="BF165" s="118"/>
      <c r="BG165" s="118"/>
      <c r="BH165" s="118"/>
      <c r="BI165" s="118"/>
      <c r="BJ165" s="118"/>
      <c r="BK165" s="118"/>
      <c r="BL165" s="118"/>
      <c r="BM165" s="118"/>
      <c r="BN165" s="118"/>
      <c r="BO165" s="118"/>
      <c r="BP165" s="118"/>
      <c r="BQ165" s="118"/>
      <c r="BR165" s="118"/>
      <c r="BS165" s="118"/>
      <c r="BT165" s="118"/>
    </row>
    <row r="166" spans="1:72" s="611" customFormat="1" ht="15.75" customHeight="1" x14ac:dyDescent="0.2">
      <c r="A166" s="529"/>
      <c r="B166" s="530"/>
      <c r="C166" s="548"/>
      <c r="D166" s="531"/>
      <c r="E166" s="531" t="s">
        <v>505</v>
      </c>
      <c r="F166" s="541" t="s">
        <v>321</v>
      </c>
      <c r="G166" s="542">
        <f>1008+1165+1052+1300-1600+1000</f>
        <v>3925</v>
      </c>
      <c r="H166" s="118"/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118"/>
      <c r="V166" s="118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18"/>
      <c r="AK166" s="118"/>
      <c r="AL166" s="118"/>
      <c r="AM166" s="118"/>
      <c r="AN166" s="118"/>
      <c r="AO166" s="118"/>
      <c r="AP166" s="118"/>
      <c r="AQ166" s="118"/>
      <c r="AR166" s="118"/>
      <c r="AS166" s="118"/>
      <c r="AT166" s="118"/>
      <c r="AU166" s="118"/>
      <c r="AV166" s="118"/>
      <c r="AW166" s="118"/>
      <c r="AX166" s="118"/>
      <c r="AY166" s="118"/>
      <c r="AZ166" s="118"/>
      <c r="BA166" s="118"/>
      <c r="BB166" s="118"/>
      <c r="BC166" s="118"/>
      <c r="BD166" s="118"/>
      <c r="BE166" s="118"/>
      <c r="BF166" s="118"/>
      <c r="BG166" s="118"/>
      <c r="BH166" s="118"/>
      <c r="BI166" s="118"/>
      <c r="BJ166" s="118"/>
      <c r="BK166" s="118"/>
      <c r="BL166" s="118"/>
      <c r="BM166" s="118"/>
      <c r="BN166" s="118"/>
      <c r="BO166" s="118"/>
      <c r="BP166" s="118"/>
      <c r="BQ166" s="118"/>
      <c r="BR166" s="118"/>
      <c r="BS166" s="118"/>
      <c r="BT166" s="118"/>
    </row>
    <row r="167" spans="1:72" s="611" customFormat="1" ht="15.75" customHeight="1" x14ac:dyDescent="0.2">
      <c r="A167" s="529"/>
      <c r="B167" s="530"/>
      <c r="C167" s="548"/>
      <c r="D167" s="531"/>
      <c r="E167" s="531" t="s">
        <v>516</v>
      </c>
      <c r="F167" s="541" t="s">
        <v>321</v>
      </c>
      <c r="G167" s="542">
        <f>3500</f>
        <v>3500</v>
      </c>
      <c r="H167" s="118"/>
      <c r="I167" s="118"/>
      <c r="J167" s="118"/>
      <c r="K167" s="118"/>
      <c r="L167" s="118"/>
      <c r="M167" s="118"/>
      <c r="N167" s="118"/>
      <c r="O167" s="118"/>
      <c r="P167" s="118"/>
      <c r="Q167" s="118"/>
      <c r="R167" s="118"/>
      <c r="S167" s="118"/>
      <c r="T167" s="118"/>
      <c r="U167" s="118"/>
      <c r="V167" s="118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8"/>
      <c r="AK167" s="118"/>
      <c r="AL167" s="118"/>
      <c r="AM167" s="118"/>
      <c r="AN167" s="118"/>
      <c r="AO167" s="118"/>
      <c r="AP167" s="118"/>
      <c r="AQ167" s="118"/>
      <c r="AR167" s="118"/>
      <c r="AS167" s="118"/>
      <c r="AT167" s="118"/>
      <c r="AU167" s="118"/>
      <c r="AV167" s="118"/>
      <c r="AW167" s="118"/>
      <c r="AX167" s="118"/>
      <c r="AY167" s="118"/>
      <c r="AZ167" s="118"/>
      <c r="BA167" s="118"/>
      <c r="BB167" s="118"/>
      <c r="BC167" s="118"/>
      <c r="BD167" s="118"/>
      <c r="BE167" s="118"/>
      <c r="BF167" s="118"/>
      <c r="BG167" s="118"/>
      <c r="BH167" s="118"/>
      <c r="BI167" s="118"/>
      <c r="BJ167" s="118"/>
      <c r="BK167" s="118"/>
      <c r="BL167" s="118"/>
      <c r="BM167" s="118"/>
      <c r="BN167" s="118"/>
      <c r="BO167" s="118"/>
      <c r="BP167" s="118"/>
      <c r="BQ167" s="118"/>
      <c r="BR167" s="118"/>
      <c r="BS167" s="118"/>
      <c r="BT167" s="118"/>
    </row>
    <row r="168" spans="1:72" s="611" customFormat="1" ht="9.75" customHeight="1" x14ac:dyDescent="0.2">
      <c r="A168" s="529"/>
      <c r="B168" s="530"/>
      <c r="C168" s="548"/>
      <c r="D168" s="531"/>
      <c r="E168" s="531"/>
      <c r="F168" s="541"/>
      <c r="G168" s="542"/>
      <c r="H168" s="118"/>
      <c r="I168" s="118"/>
      <c r="J168" s="118"/>
      <c r="K168" s="118"/>
      <c r="L168" s="118"/>
      <c r="M168" s="118"/>
      <c r="N168" s="118"/>
      <c r="O168" s="118"/>
      <c r="P168" s="118"/>
      <c r="Q168" s="118"/>
      <c r="R168" s="118"/>
      <c r="S168" s="118"/>
      <c r="T168" s="118"/>
      <c r="U168" s="118"/>
      <c r="V168" s="118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  <c r="AL168" s="118"/>
      <c r="AM168" s="118"/>
      <c r="AN168" s="118"/>
      <c r="AO168" s="118"/>
      <c r="AP168" s="118"/>
      <c r="AQ168" s="118"/>
      <c r="AR168" s="118"/>
      <c r="AS168" s="118"/>
      <c r="AT168" s="118"/>
      <c r="AU168" s="118"/>
      <c r="AV168" s="118"/>
      <c r="AW168" s="118"/>
      <c r="AX168" s="118"/>
      <c r="AY168" s="118"/>
      <c r="AZ168" s="118"/>
      <c r="BA168" s="118"/>
      <c r="BB168" s="118"/>
      <c r="BC168" s="118"/>
      <c r="BD168" s="118"/>
      <c r="BE168" s="118"/>
      <c r="BF168" s="118"/>
      <c r="BG168" s="118"/>
      <c r="BH168" s="118"/>
      <c r="BI168" s="118"/>
      <c r="BJ168" s="118"/>
      <c r="BK168" s="118"/>
      <c r="BL168" s="118"/>
      <c r="BM168" s="118"/>
      <c r="BN168" s="118"/>
      <c r="BO168" s="118"/>
      <c r="BP168" s="118"/>
      <c r="BQ168" s="118"/>
      <c r="BR168" s="118"/>
      <c r="BS168" s="118"/>
      <c r="BT168" s="118"/>
    </row>
    <row r="169" spans="1:72" s="611" customFormat="1" ht="15.75" customHeight="1" x14ac:dyDescent="0.2">
      <c r="A169" s="529"/>
      <c r="B169" s="613" t="s">
        <v>19</v>
      </c>
      <c r="C169" s="531" t="s">
        <v>526</v>
      </c>
      <c r="D169" s="531" t="s">
        <v>536</v>
      </c>
      <c r="E169" s="537" t="s">
        <v>321</v>
      </c>
      <c r="F169" s="538" t="s">
        <v>321</v>
      </c>
      <c r="G169" s="539">
        <f>SUM(G171)</f>
        <v>12500</v>
      </c>
      <c r="H169" s="118"/>
      <c r="I169" s="118"/>
      <c r="J169" s="118"/>
      <c r="K169" s="118"/>
      <c r="L169" s="118"/>
      <c r="M169" s="118"/>
      <c r="N169" s="118"/>
      <c r="O169" s="118"/>
      <c r="P169" s="118"/>
      <c r="Q169" s="118"/>
      <c r="R169" s="118"/>
      <c r="S169" s="118"/>
      <c r="T169" s="118"/>
      <c r="U169" s="118"/>
      <c r="V169" s="118"/>
      <c r="W169" s="118"/>
      <c r="X169" s="118"/>
      <c r="Y169" s="118"/>
      <c r="Z169" s="118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  <c r="AL169" s="118"/>
      <c r="AM169" s="118"/>
      <c r="AN169" s="118"/>
      <c r="AO169" s="118"/>
      <c r="AP169" s="118"/>
      <c r="AQ169" s="118"/>
      <c r="AR169" s="118"/>
      <c r="AS169" s="118"/>
      <c r="AT169" s="118"/>
      <c r="AU169" s="118"/>
      <c r="AV169" s="118"/>
      <c r="AW169" s="118"/>
      <c r="AX169" s="118"/>
      <c r="AY169" s="118"/>
      <c r="AZ169" s="118"/>
      <c r="BA169" s="118"/>
      <c r="BB169" s="118"/>
      <c r="BC169" s="118"/>
      <c r="BD169" s="118"/>
      <c r="BE169" s="118"/>
      <c r="BF169" s="118"/>
      <c r="BG169" s="118"/>
      <c r="BH169" s="118"/>
      <c r="BI169" s="118"/>
      <c r="BJ169" s="118"/>
      <c r="BK169" s="118"/>
      <c r="BL169" s="118"/>
      <c r="BM169" s="118"/>
      <c r="BN169" s="118"/>
      <c r="BO169" s="118"/>
      <c r="BP169" s="118"/>
      <c r="BQ169" s="118"/>
      <c r="BR169" s="118"/>
      <c r="BS169" s="118"/>
      <c r="BT169" s="118"/>
    </row>
    <row r="170" spans="1:72" s="611" customFormat="1" ht="9" customHeight="1" x14ac:dyDescent="0.2">
      <c r="A170" s="529"/>
      <c r="B170" s="530"/>
      <c r="C170" s="548"/>
      <c r="D170" s="531"/>
      <c r="E170" s="531"/>
      <c r="F170" s="541"/>
      <c r="G170" s="542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  <c r="AP170" s="118"/>
      <c r="AQ170" s="118"/>
      <c r="AR170" s="118"/>
      <c r="AS170" s="118"/>
      <c r="AT170" s="118"/>
      <c r="AU170" s="118"/>
      <c r="AV170" s="118"/>
      <c r="AW170" s="118"/>
      <c r="AX170" s="118"/>
      <c r="AY170" s="118"/>
      <c r="AZ170" s="118"/>
      <c r="BA170" s="118"/>
      <c r="BB170" s="118"/>
      <c r="BC170" s="118"/>
      <c r="BD170" s="118"/>
      <c r="BE170" s="118"/>
      <c r="BF170" s="118"/>
      <c r="BG170" s="118"/>
      <c r="BH170" s="118"/>
      <c r="BI170" s="118"/>
      <c r="BJ170" s="118"/>
      <c r="BK170" s="118"/>
      <c r="BL170" s="118"/>
      <c r="BM170" s="118"/>
      <c r="BN170" s="118"/>
      <c r="BO170" s="118"/>
      <c r="BP170" s="118"/>
      <c r="BQ170" s="118"/>
      <c r="BR170" s="118"/>
      <c r="BS170" s="118"/>
      <c r="BT170" s="118"/>
    </row>
    <row r="171" spans="1:72" s="611" customFormat="1" ht="15.75" customHeight="1" x14ac:dyDescent="0.2">
      <c r="A171" s="529"/>
      <c r="B171" s="530"/>
      <c r="C171" s="548"/>
      <c r="D171" s="531"/>
      <c r="E171" s="531"/>
      <c r="F171" s="541"/>
      <c r="G171" s="612">
        <f>SUM(G172:G172)</f>
        <v>12500</v>
      </c>
      <c r="H171" s="118"/>
      <c r="I171" s="118"/>
      <c r="J171" s="118"/>
      <c r="K171" s="118"/>
      <c r="L171" s="118"/>
      <c r="M171" s="118"/>
      <c r="N171" s="118"/>
      <c r="O171" s="118"/>
      <c r="P171" s="118"/>
      <c r="Q171" s="118"/>
      <c r="R171" s="118"/>
      <c r="S171" s="118"/>
      <c r="T171" s="118"/>
      <c r="U171" s="118"/>
      <c r="V171" s="118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  <c r="AL171" s="118"/>
      <c r="AM171" s="118"/>
      <c r="AN171" s="118"/>
      <c r="AO171" s="118"/>
      <c r="AP171" s="118"/>
      <c r="AQ171" s="118"/>
      <c r="AR171" s="118"/>
      <c r="AS171" s="118"/>
      <c r="AT171" s="118"/>
      <c r="AU171" s="118"/>
      <c r="AV171" s="118"/>
      <c r="AW171" s="118"/>
      <c r="AX171" s="118"/>
      <c r="AY171" s="118"/>
      <c r="AZ171" s="118"/>
      <c r="BA171" s="118"/>
      <c r="BB171" s="118"/>
      <c r="BC171" s="118"/>
      <c r="BD171" s="118"/>
      <c r="BE171" s="118"/>
      <c r="BF171" s="118"/>
      <c r="BG171" s="118"/>
      <c r="BH171" s="118"/>
      <c r="BI171" s="118"/>
      <c r="BJ171" s="118"/>
      <c r="BK171" s="118"/>
      <c r="BL171" s="118"/>
      <c r="BM171" s="118"/>
      <c r="BN171" s="118"/>
      <c r="BO171" s="118"/>
      <c r="BP171" s="118"/>
      <c r="BQ171" s="118"/>
      <c r="BR171" s="118"/>
      <c r="BS171" s="118"/>
      <c r="BT171" s="118"/>
    </row>
    <row r="172" spans="1:72" s="611" customFormat="1" ht="15.75" customHeight="1" x14ac:dyDescent="0.2">
      <c r="A172" s="529"/>
      <c r="B172" s="530"/>
      <c r="C172" s="548"/>
      <c r="D172" s="531"/>
      <c r="E172" s="531" t="s">
        <v>41</v>
      </c>
      <c r="F172" s="541" t="s">
        <v>321</v>
      </c>
      <c r="G172" s="542">
        <f>12500</f>
        <v>12500</v>
      </c>
      <c r="H172" s="118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  <c r="AP172" s="118"/>
      <c r="AQ172" s="118"/>
      <c r="AR172" s="118"/>
      <c r="AS172" s="118"/>
      <c r="AT172" s="118"/>
      <c r="AU172" s="118"/>
      <c r="AV172" s="118"/>
      <c r="AW172" s="118"/>
      <c r="AX172" s="118"/>
      <c r="AY172" s="118"/>
      <c r="AZ172" s="118"/>
      <c r="BA172" s="118"/>
      <c r="BB172" s="118"/>
      <c r="BC172" s="118"/>
      <c r="BD172" s="118"/>
      <c r="BE172" s="118"/>
      <c r="BF172" s="118"/>
      <c r="BG172" s="118"/>
      <c r="BH172" s="118"/>
      <c r="BI172" s="118"/>
      <c r="BJ172" s="118"/>
      <c r="BK172" s="118"/>
      <c r="BL172" s="118"/>
      <c r="BM172" s="118"/>
      <c r="BN172" s="118"/>
      <c r="BO172" s="118"/>
      <c r="BP172" s="118"/>
      <c r="BQ172" s="118"/>
      <c r="BR172" s="118"/>
      <c r="BS172" s="118"/>
      <c r="BT172" s="118"/>
    </row>
    <row r="173" spans="1:72" s="611" customFormat="1" ht="9" customHeight="1" x14ac:dyDescent="0.2">
      <c r="A173" s="529"/>
      <c r="B173" s="530"/>
      <c r="C173" s="548"/>
      <c r="D173" s="531"/>
      <c r="E173" s="531"/>
      <c r="F173" s="541"/>
      <c r="G173" s="542"/>
      <c r="H173" s="118"/>
      <c r="I173" s="118"/>
      <c r="J173" s="118"/>
      <c r="K173" s="118"/>
      <c r="L173" s="118"/>
      <c r="M173" s="118"/>
      <c r="N173" s="118"/>
      <c r="O173" s="118"/>
      <c r="P173" s="118"/>
      <c r="Q173" s="118"/>
      <c r="R173" s="118"/>
      <c r="S173" s="118"/>
      <c r="T173" s="118"/>
      <c r="U173" s="118"/>
      <c r="V173" s="118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  <c r="AP173" s="118"/>
      <c r="AQ173" s="118"/>
      <c r="AR173" s="118"/>
      <c r="AS173" s="118"/>
      <c r="AT173" s="118"/>
      <c r="AU173" s="118"/>
      <c r="AV173" s="118"/>
      <c r="AW173" s="118"/>
      <c r="AX173" s="118"/>
      <c r="AY173" s="118"/>
      <c r="AZ173" s="118"/>
      <c r="BA173" s="118"/>
      <c r="BB173" s="118"/>
      <c r="BC173" s="118"/>
      <c r="BD173" s="118"/>
      <c r="BE173" s="118"/>
      <c r="BF173" s="118"/>
      <c r="BG173" s="118"/>
      <c r="BH173" s="118"/>
      <c r="BI173" s="118"/>
      <c r="BJ173" s="118"/>
      <c r="BK173" s="118"/>
      <c r="BL173" s="118"/>
      <c r="BM173" s="118"/>
      <c r="BN173" s="118"/>
      <c r="BO173" s="118"/>
      <c r="BP173" s="118"/>
      <c r="BQ173" s="118"/>
      <c r="BR173" s="118"/>
      <c r="BS173" s="118"/>
      <c r="BT173" s="118"/>
    </row>
    <row r="174" spans="1:72" s="611" customFormat="1" ht="15.75" customHeight="1" x14ac:dyDescent="0.2">
      <c r="A174" s="529"/>
      <c r="B174" s="613" t="s">
        <v>19</v>
      </c>
      <c r="C174" s="531" t="s">
        <v>537</v>
      </c>
      <c r="D174" s="531" t="s">
        <v>538</v>
      </c>
      <c r="E174" s="537" t="s">
        <v>321</v>
      </c>
      <c r="F174" s="538" t="s">
        <v>321</v>
      </c>
      <c r="G174" s="539">
        <f>SUM(G176)</f>
        <v>37036.43</v>
      </c>
      <c r="H174" s="118"/>
      <c r="I174" s="118"/>
      <c r="J174" s="118"/>
      <c r="K174" s="118"/>
      <c r="L174" s="118"/>
      <c r="M174" s="118"/>
      <c r="N174" s="118"/>
      <c r="O174" s="118"/>
      <c r="P174" s="118"/>
      <c r="Q174" s="118"/>
      <c r="R174" s="118"/>
      <c r="S174" s="118"/>
      <c r="T174" s="118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  <c r="AP174" s="118"/>
      <c r="AQ174" s="118"/>
      <c r="AR174" s="118"/>
      <c r="AS174" s="118"/>
      <c r="AT174" s="118"/>
      <c r="AU174" s="118"/>
      <c r="AV174" s="118"/>
      <c r="AW174" s="118"/>
      <c r="AX174" s="118"/>
      <c r="AY174" s="118"/>
      <c r="AZ174" s="118"/>
      <c r="BA174" s="118"/>
      <c r="BB174" s="118"/>
      <c r="BC174" s="118"/>
      <c r="BD174" s="118"/>
      <c r="BE174" s="118"/>
      <c r="BF174" s="118"/>
      <c r="BG174" s="118"/>
      <c r="BH174" s="118"/>
      <c r="BI174" s="118"/>
      <c r="BJ174" s="118"/>
      <c r="BK174" s="118"/>
      <c r="BL174" s="118"/>
      <c r="BM174" s="118"/>
      <c r="BN174" s="118"/>
      <c r="BO174" s="118"/>
      <c r="BP174" s="118"/>
      <c r="BQ174" s="118"/>
      <c r="BR174" s="118"/>
      <c r="BS174" s="118"/>
      <c r="BT174" s="118"/>
    </row>
    <row r="175" spans="1:72" s="611" customFormat="1" ht="4.5" customHeight="1" x14ac:dyDescent="0.2">
      <c r="A175" s="529"/>
      <c r="B175" s="530"/>
      <c r="C175" s="548"/>
      <c r="D175" s="531"/>
      <c r="E175" s="531"/>
      <c r="F175" s="541"/>
      <c r="G175" s="542"/>
      <c r="H175" s="118"/>
      <c r="I175" s="118"/>
      <c r="J175" s="118"/>
      <c r="K175" s="118"/>
      <c r="L175" s="118"/>
      <c r="M175" s="118"/>
      <c r="N175" s="118"/>
      <c r="O175" s="118"/>
      <c r="P175" s="118"/>
      <c r="Q175" s="118"/>
      <c r="R175" s="118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18"/>
      <c r="AL175" s="118"/>
      <c r="AM175" s="118"/>
      <c r="AN175" s="118"/>
      <c r="AO175" s="118"/>
      <c r="AP175" s="118"/>
      <c r="AQ175" s="118"/>
      <c r="AR175" s="118"/>
      <c r="AS175" s="118"/>
      <c r="AT175" s="118"/>
      <c r="AU175" s="118"/>
      <c r="AV175" s="118"/>
      <c r="AW175" s="118"/>
      <c r="AX175" s="118"/>
      <c r="AY175" s="118"/>
      <c r="AZ175" s="118"/>
      <c r="BA175" s="118"/>
      <c r="BB175" s="118"/>
      <c r="BC175" s="118"/>
      <c r="BD175" s="118"/>
      <c r="BE175" s="118"/>
      <c r="BF175" s="118"/>
      <c r="BG175" s="118"/>
      <c r="BH175" s="118"/>
      <c r="BI175" s="118"/>
      <c r="BJ175" s="118"/>
      <c r="BK175" s="118"/>
      <c r="BL175" s="118"/>
      <c r="BM175" s="118"/>
      <c r="BN175" s="118"/>
      <c r="BO175" s="118"/>
      <c r="BP175" s="118"/>
      <c r="BQ175" s="118"/>
      <c r="BR175" s="118"/>
      <c r="BS175" s="118"/>
      <c r="BT175" s="118"/>
    </row>
    <row r="176" spans="1:72" s="611" customFormat="1" ht="15.75" customHeight="1" x14ac:dyDescent="0.2">
      <c r="A176" s="529"/>
      <c r="B176" s="530"/>
      <c r="C176" s="548"/>
      <c r="D176" s="531"/>
      <c r="E176" s="531"/>
      <c r="F176" s="541"/>
      <c r="G176" s="612">
        <f>SUM(G177:G179)</f>
        <v>37036.43</v>
      </c>
      <c r="H176" s="118"/>
      <c r="I176" s="118"/>
      <c r="J176" s="118"/>
      <c r="K176" s="118"/>
      <c r="L176" s="118"/>
      <c r="M176" s="118"/>
      <c r="N176" s="118"/>
      <c r="O176" s="118"/>
      <c r="P176" s="118"/>
      <c r="Q176" s="118"/>
      <c r="R176" s="118"/>
      <c r="S176" s="118"/>
      <c r="T176" s="118"/>
      <c r="U176" s="118"/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18"/>
      <c r="AL176" s="118"/>
      <c r="AM176" s="118"/>
      <c r="AN176" s="118"/>
      <c r="AO176" s="118"/>
      <c r="AP176" s="118"/>
      <c r="AQ176" s="118"/>
      <c r="AR176" s="118"/>
      <c r="AS176" s="118"/>
      <c r="AT176" s="118"/>
      <c r="AU176" s="118"/>
      <c r="AV176" s="118"/>
      <c r="AW176" s="118"/>
      <c r="AX176" s="118"/>
      <c r="AY176" s="118"/>
      <c r="AZ176" s="118"/>
      <c r="BA176" s="118"/>
      <c r="BB176" s="118"/>
      <c r="BC176" s="118"/>
      <c r="BD176" s="118"/>
      <c r="BE176" s="118"/>
      <c r="BF176" s="118"/>
      <c r="BG176" s="118"/>
      <c r="BH176" s="118"/>
      <c r="BI176" s="118"/>
      <c r="BJ176" s="118"/>
      <c r="BK176" s="118"/>
      <c r="BL176" s="118"/>
      <c r="BM176" s="118"/>
      <c r="BN176" s="118"/>
      <c r="BO176" s="118"/>
      <c r="BP176" s="118"/>
      <c r="BQ176" s="118"/>
      <c r="BR176" s="118"/>
      <c r="BS176" s="118"/>
      <c r="BT176" s="118"/>
    </row>
    <row r="177" spans="1:72" s="611" customFormat="1" ht="15.75" customHeight="1" x14ac:dyDescent="0.2">
      <c r="A177" s="529"/>
      <c r="B177" s="530"/>
      <c r="C177" s="548"/>
      <c r="D177" s="531"/>
      <c r="E177" s="531" t="s">
        <v>41</v>
      </c>
      <c r="F177" s="541" t="s">
        <v>321</v>
      </c>
      <c r="G177" s="542">
        <f>4842+5477+3551.43+4947+750+5127+5992</f>
        <v>30686.43</v>
      </c>
      <c r="H177" s="118"/>
      <c r="I177" s="118"/>
      <c r="J177" s="118"/>
      <c r="K177" s="118"/>
      <c r="L177" s="118"/>
      <c r="M177" s="118"/>
      <c r="N177" s="118"/>
      <c r="O177" s="118"/>
      <c r="P177" s="118"/>
      <c r="Q177" s="118"/>
      <c r="R177" s="118"/>
      <c r="S177" s="118"/>
      <c r="T177" s="118"/>
      <c r="U177" s="118"/>
      <c r="V177" s="118"/>
      <c r="W177" s="118"/>
      <c r="X177" s="118"/>
      <c r="Y177" s="118"/>
      <c r="Z177" s="118"/>
      <c r="AA177" s="118"/>
      <c r="AB177" s="118"/>
      <c r="AC177" s="118"/>
      <c r="AD177" s="118"/>
      <c r="AE177" s="118"/>
      <c r="AF177" s="118"/>
      <c r="AG177" s="118"/>
      <c r="AH177" s="118"/>
      <c r="AI177" s="118"/>
      <c r="AJ177" s="118"/>
      <c r="AK177" s="118"/>
      <c r="AL177" s="118"/>
      <c r="AM177" s="118"/>
      <c r="AN177" s="118"/>
      <c r="AO177" s="118"/>
      <c r="AP177" s="118"/>
      <c r="AQ177" s="118"/>
      <c r="AR177" s="118"/>
      <c r="AS177" s="118"/>
      <c r="AT177" s="118"/>
      <c r="AU177" s="118"/>
      <c r="AV177" s="118"/>
      <c r="AW177" s="118"/>
      <c r="AX177" s="118"/>
      <c r="AY177" s="118"/>
      <c r="AZ177" s="118"/>
      <c r="BA177" s="118"/>
      <c r="BB177" s="118"/>
      <c r="BC177" s="118"/>
      <c r="BD177" s="118"/>
      <c r="BE177" s="118"/>
      <c r="BF177" s="118"/>
      <c r="BG177" s="118"/>
      <c r="BH177" s="118"/>
      <c r="BI177" s="118"/>
      <c r="BJ177" s="118"/>
      <c r="BK177" s="118"/>
      <c r="BL177" s="118"/>
      <c r="BM177" s="118"/>
      <c r="BN177" s="118"/>
      <c r="BO177" s="118"/>
      <c r="BP177" s="118"/>
      <c r="BQ177" s="118"/>
      <c r="BR177" s="118"/>
      <c r="BS177" s="118"/>
      <c r="BT177" s="118"/>
    </row>
    <row r="178" spans="1:72" s="611" customFormat="1" ht="15.75" customHeight="1" x14ac:dyDescent="0.2">
      <c r="A178" s="529"/>
      <c r="B178" s="530"/>
      <c r="C178" s="548"/>
      <c r="D178" s="531"/>
      <c r="E178" s="531" t="s">
        <v>515</v>
      </c>
      <c r="F178" s="541" t="s">
        <v>321</v>
      </c>
      <c r="G178" s="542">
        <v>750</v>
      </c>
      <c r="H178" s="118"/>
      <c r="I178" s="118"/>
      <c r="J178" s="118"/>
      <c r="K178" s="118"/>
      <c r="L178" s="118"/>
      <c r="M178" s="118"/>
      <c r="N178" s="118"/>
      <c r="O178" s="118"/>
      <c r="P178" s="118"/>
      <c r="Q178" s="118"/>
      <c r="R178" s="118"/>
      <c r="S178" s="118"/>
      <c r="T178" s="118"/>
      <c r="U178" s="118"/>
      <c r="V178" s="118"/>
      <c r="W178" s="118"/>
      <c r="X178" s="118"/>
      <c r="Y178" s="118"/>
      <c r="Z178" s="118"/>
      <c r="AA178" s="118"/>
      <c r="AB178" s="118"/>
      <c r="AC178" s="118"/>
      <c r="AD178" s="118"/>
      <c r="AE178" s="118"/>
      <c r="AF178" s="118"/>
      <c r="AG178" s="118"/>
      <c r="AH178" s="118"/>
      <c r="AI178" s="118"/>
      <c r="AJ178" s="118"/>
      <c r="AK178" s="118"/>
      <c r="AL178" s="118"/>
      <c r="AM178" s="118"/>
      <c r="AN178" s="118"/>
      <c r="AO178" s="118"/>
      <c r="AP178" s="118"/>
      <c r="AQ178" s="118"/>
      <c r="AR178" s="118"/>
      <c r="AS178" s="118"/>
      <c r="AT178" s="118"/>
      <c r="AU178" s="118"/>
      <c r="AV178" s="118"/>
      <c r="AW178" s="118"/>
      <c r="AX178" s="118"/>
      <c r="AY178" s="118"/>
      <c r="AZ178" s="118"/>
      <c r="BA178" s="118"/>
      <c r="BB178" s="118"/>
      <c r="BC178" s="118"/>
      <c r="BD178" s="118"/>
      <c r="BE178" s="118"/>
      <c r="BF178" s="118"/>
      <c r="BG178" s="118"/>
      <c r="BH178" s="118"/>
      <c r="BI178" s="118"/>
      <c r="BJ178" s="118"/>
      <c r="BK178" s="118"/>
      <c r="BL178" s="118"/>
      <c r="BM178" s="118"/>
      <c r="BN178" s="118"/>
      <c r="BO178" s="118"/>
      <c r="BP178" s="118"/>
      <c r="BQ178" s="118"/>
      <c r="BR178" s="118"/>
      <c r="BS178" s="118"/>
      <c r="BT178" s="118"/>
    </row>
    <row r="179" spans="1:72" s="611" customFormat="1" ht="15.75" customHeight="1" x14ac:dyDescent="0.2">
      <c r="A179" s="529"/>
      <c r="B179" s="530"/>
      <c r="C179" s="548"/>
      <c r="D179" s="531"/>
      <c r="E179" s="531" t="s">
        <v>516</v>
      </c>
      <c r="F179" s="541" t="s">
        <v>321</v>
      </c>
      <c r="G179" s="542">
        <f>5586+2914-2900</f>
        <v>5600</v>
      </c>
      <c r="H179" s="118"/>
      <c r="I179" s="118"/>
      <c r="J179" s="118"/>
      <c r="K179" s="118"/>
      <c r="L179" s="118"/>
      <c r="M179" s="118"/>
      <c r="N179" s="118"/>
      <c r="O179" s="118"/>
      <c r="P179" s="118"/>
      <c r="Q179" s="118"/>
      <c r="R179" s="118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18"/>
      <c r="AL179" s="118"/>
      <c r="AM179" s="118"/>
      <c r="AN179" s="118"/>
      <c r="AO179" s="118"/>
      <c r="AP179" s="118"/>
      <c r="AQ179" s="118"/>
      <c r="AR179" s="118"/>
      <c r="AS179" s="118"/>
      <c r="AT179" s="118"/>
      <c r="AU179" s="118"/>
      <c r="AV179" s="118"/>
      <c r="AW179" s="118"/>
      <c r="AX179" s="118"/>
      <c r="AY179" s="118"/>
      <c r="AZ179" s="118"/>
      <c r="BA179" s="118"/>
      <c r="BB179" s="118"/>
      <c r="BC179" s="118"/>
      <c r="BD179" s="118"/>
      <c r="BE179" s="118"/>
      <c r="BF179" s="118"/>
      <c r="BG179" s="118"/>
      <c r="BH179" s="118"/>
      <c r="BI179" s="118"/>
      <c r="BJ179" s="118"/>
      <c r="BK179" s="118"/>
      <c r="BL179" s="118"/>
      <c r="BM179" s="118"/>
      <c r="BN179" s="118"/>
      <c r="BO179" s="118"/>
      <c r="BP179" s="118"/>
      <c r="BQ179" s="118"/>
      <c r="BR179" s="118"/>
      <c r="BS179" s="118"/>
      <c r="BT179" s="118"/>
    </row>
    <row r="180" spans="1:72" s="611" customFormat="1" ht="12.75" customHeight="1" x14ac:dyDescent="0.2">
      <c r="A180" s="543"/>
      <c r="B180" s="544"/>
      <c r="C180" s="545"/>
      <c r="D180" s="532"/>
      <c r="E180" s="532"/>
      <c r="F180" s="534"/>
      <c r="G180" s="546"/>
      <c r="H180" s="118"/>
      <c r="I180" s="118"/>
      <c r="J180" s="118"/>
      <c r="K180" s="118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  <c r="AL180" s="118"/>
      <c r="AM180" s="118"/>
      <c r="AN180" s="118"/>
      <c r="AO180" s="118"/>
      <c r="AP180" s="118"/>
      <c r="AQ180" s="118"/>
      <c r="AR180" s="118"/>
      <c r="AS180" s="118"/>
      <c r="AT180" s="118"/>
      <c r="AU180" s="118"/>
      <c r="AV180" s="118"/>
      <c r="AW180" s="118"/>
      <c r="AX180" s="118"/>
      <c r="AY180" s="118"/>
      <c r="AZ180" s="118"/>
      <c r="BA180" s="118"/>
      <c r="BB180" s="118"/>
      <c r="BC180" s="118"/>
      <c r="BD180" s="118"/>
      <c r="BE180" s="118"/>
      <c r="BF180" s="118"/>
      <c r="BG180" s="118"/>
      <c r="BH180" s="118"/>
      <c r="BI180" s="118"/>
      <c r="BJ180" s="118"/>
      <c r="BK180" s="118"/>
      <c r="BL180" s="118"/>
      <c r="BM180" s="118"/>
      <c r="BN180" s="118"/>
      <c r="BO180" s="118"/>
      <c r="BP180" s="118"/>
      <c r="BQ180" s="118"/>
      <c r="BR180" s="118"/>
      <c r="BS180" s="118"/>
      <c r="BT180" s="118"/>
    </row>
    <row r="181" spans="1:72" s="611" customFormat="1" ht="18.75" customHeight="1" x14ac:dyDescent="0.2">
      <c r="A181" s="529"/>
      <c r="B181" s="530"/>
      <c r="C181" s="531" t="s">
        <v>526</v>
      </c>
      <c r="D181" s="531" t="s">
        <v>539</v>
      </c>
      <c r="E181" s="532" t="s">
        <v>111</v>
      </c>
      <c r="F181" s="533">
        <f>23088.67+942.17</f>
        <v>24030.839999999997</v>
      </c>
      <c r="G181" s="534" t="s">
        <v>321</v>
      </c>
      <c r="H181" s="118"/>
      <c r="I181" s="118"/>
      <c r="J181" s="118"/>
      <c r="K181" s="118"/>
      <c r="L181" s="118"/>
      <c r="M181" s="118"/>
      <c r="N181" s="118"/>
      <c r="O181" s="118"/>
      <c r="P181" s="118"/>
      <c r="Q181" s="118"/>
      <c r="R181" s="118"/>
      <c r="S181" s="118"/>
      <c r="T181" s="118"/>
      <c r="U181" s="118"/>
      <c r="V181" s="118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18"/>
      <c r="AL181" s="118"/>
      <c r="AM181" s="118"/>
      <c r="AN181" s="118"/>
      <c r="AO181" s="118"/>
      <c r="AP181" s="118"/>
      <c r="AQ181" s="118"/>
      <c r="AR181" s="118"/>
      <c r="AS181" s="118"/>
      <c r="AT181" s="118"/>
      <c r="AU181" s="118"/>
      <c r="AV181" s="118"/>
      <c r="AW181" s="118"/>
      <c r="AX181" s="118"/>
      <c r="AY181" s="118"/>
      <c r="AZ181" s="118"/>
      <c r="BA181" s="118"/>
      <c r="BB181" s="118"/>
      <c r="BC181" s="118"/>
      <c r="BD181" s="118"/>
      <c r="BE181" s="118"/>
      <c r="BF181" s="118"/>
      <c r="BG181" s="118"/>
      <c r="BH181" s="118"/>
      <c r="BI181" s="118"/>
      <c r="BJ181" s="118"/>
      <c r="BK181" s="118"/>
      <c r="BL181" s="118"/>
      <c r="BM181" s="118"/>
      <c r="BN181" s="118"/>
      <c r="BO181" s="118"/>
      <c r="BP181" s="118"/>
      <c r="BQ181" s="118"/>
      <c r="BR181" s="118"/>
      <c r="BS181" s="118"/>
      <c r="BT181" s="118"/>
    </row>
    <row r="182" spans="1:72" s="611" customFormat="1" ht="62.25" customHeight="1" x14ac:dyDescent="0.2">
      <c r="A182" s="535" t="s">
        <v>83</v>
      </c>
      <c r="B182" s="536" t="s">
        <v>540</v>
      </c>
      <c r="C182" s="531"/>
      <c r="D182" s="531"/>
      <c r="E182" s="537" t="s">
        <v>321</v>
      </c>
      <c r="F182" s="538" t="s">
        <v>321</v>
      </c>
      <c r="G182" s="539">
        <f>SUM(G184,G189)</f>
        <v>24030.84</v>
      </c>
      <c r="H182" s="118"/>
      <c r="I182" s="118"/>
      <c r="J182" s="118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  <c r="W182" s="118"/>
      <c r="X182" s="118"/>
      <c r="Y182" s="118"/>
      <c r="Z182" s="118"/>
      <c r="AA182" s="118"/>
      <c r="AB182" s="118"/>
      <c r="AC182" s="118"/>
      <c r="AD182" s="118"/>
      <c r="AE182" s="118"/>
      <c r="AF182" s="118"/>
      <c r="AG182" s="118"/>
      <c r="AH182" s="118"/>
      <c r="AI182" s="118"/>
      <c r="AJ182" s="118"/>
      <c r="AK182" s="118"/>
      <c r="AL182" s="118"/>
      <c r="AM182" s="118"/>
      <c r="AN182" s="118"/>
      <c r="AO182" s="118"/>
      <c r="AP182" s="118"/>
      <c r="AQ182" s="118"/>
      <c r="AR182" s="118"/>
      <c r="AS182" s="118"/>
      <c r="AT182" s="118"/>
      <c r="AU182" s="118"/>
      <c r="AV182" s="118"/>
      <c r="AW182" s="118"/>
      <c r="AX182" s="118"/>
      <c r="AY182" s="118"/>
      <c r="AZ182" s="118"/>
      <c r="BA182" s="118"/>
      <c r="BB182" s="118"/>
      <c r="BC182" s="118"/>
      <c r="BD182" s="118"/>
      <c r="BE182" s="118"/>
      <c r="BF182" s="118"/>
      <c r="BG182" s="118"/>
      <c r="BH182" s="118"/>
      <c r="BI182" s="118"/>
      <c r="BJ182" s="118"/>
      <c r="BK182" s="118"/>
      <c r="BL182" s="118"/>
      <c r="BM182" s="118"/>
      <c r="BN182" s="118"/>
      <c r="BO182" s="118"/>
      <c r="BP182" s="118"/>
      <c r="BQ182" s="118"/>
      <c r="BR182" s="118"/>
      <c r="BS182" s="118"/>
      <c r="BT182" s="118"/>
    </row>
    <row r="183" spans="1:72" s="611" customFormat="1" ht="15.75" customHeight="1" x14ac:dyDescent="0.2">
      <c r="A183" s="529"/>
      <c r="B183" s="530"/>
      <c r="C183" s="548"/>
      <c r="D183" s="531"/>
      <c r="E183" s="531"/>
      <c r="F183" s="541"/>
      <c r="G183" s="542"/>
      <c r="H183" s="118"/>
      <c r="I183" s="118"/>
      <c r="J183" s="118"/>
      <c r="K183" s="118"/>
      <c r="L183" s="118"/>
      <c r="M183" s="118"/>
      <c r="N183" s="118"/>
      <c r="O183" s="118"/>
      <c r="P183" s="118"/>
      <c r="Q183" s="118"/>
      <c r="R183" s="118"/>
      <c r="S183" s="118"/>
      <c r="T183" s="118"/>
      <c r="U183" s="118"/>
      <c r="V183" s="118"/>
      <c r="W183" s="118"/>
      <c r="X183" s="118"/>
      <c r="Y183" s="118"/>
      <c r="Z183" s="118"/>
      <c r="AA183" s="118"/>
      <c r="AB183" s="118"/>
      <c r="AC183" s="118"/>
      <c r="AD183" s="118"/>
      <c r="AE183" s="118"/>
      <c r="AF183" s="118"/>
      <c r="AG183" s="118"/>
      <c r="AH183" s="118"/>
      <c r="AI183" s="118"/>
      <c r="AJ183" s="118"/>
      <c r="AK183" s="118"/>
      <c r="AL183" s="118"/>
      <c r="AM183" s="118"/>
      <c r="AN183" s="118"/>
      <c r="AO183" s="118"/>
      <c r="AP183" s="118"/>
      <c r="AQ183" s="118"/>
      <c r="AR183" s="118"/>
      <c r="AS183" s="118"/>
      <c r="AT183" s="118"/>
      <c r="AU183" s="118"/>
      <c r="AV183" s="118"/>
      <c r="AW183" s="118"/>
      <c r="AX183" s="118"/>
      <c r="AY183" s="118"/>
      <c r="AZ183" s="118"/>
      <c r="BA183" s="118"/>
      <c r="BB183" s="118"/>
      <c r="BC183" s="118"/>
      <c r="BD183" s="118"/>
      <c r="BE183" s="118"/>
      <c r="BF183" s="118"/>
      <c r="BG183" s="118"/>
      <c r="BH183" s="118"/>
      <c r="BI183" s="118"/>
      <c r="BJ183" s="118"/>
      <c r="BK183" s="118"/>
      <c r="BL183" s="118"/>
      <c r="BM183" s="118"/>
      <c r="BN183" s="118"/>
      <c r="BO183" s="118"/>
      <c r="BP183" s="118"/>
      <c r="BQ183" s="118"/>
      <c r="BR183" s="118"/>
      <c r="BS183" s="118"/>
      <c r="BT183" s="118"/>
    </row>
    <row r="184" spans="1:72" s="611" customFormat="1" ht="15.75" customHeight="1" x14ac:dyDescent="0.2">
      <c r="A184" s="529"/>
      <c r="B184" s="613" t="s">
        <v>19</v>
      </c>
      <c r="C184" s="531"/>
      <c r="D184" s="531"/>
      <c r="E184" s="537" t="s">
        <v>321</v>
      </c>
      <c r="F184" s="538" t="s">
        <v>321</v>
      </c>
      <c r="G184" s="539">
        <f>SUM(G186)</f>
        <v>23765.71</v>
      </c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  <c r="AL184" s="118"/>
      <c r="AM184" s="118"/>
      <c r="AN184" s="118"/>
      <c r="AO184" s="118"/>
      <c r="AP184" s="118"/>
      <c r="AQ184" s="118"/>
      <c r="AR184" s="118"/>
      <c r="AS184" s="118"/>
      <c r="AT184" s="118"/>
      <c r="AU184" s="118"/>
      <c r="AV184" s="118"/>
      <c r="AW184" s="118"/>
      <c r="AX184" s="118"/>
      <c r="AY184" s="118"/>
      <c r="AZ184" s="118"/>
      <c r="BA184" s="118"/>
      <c r="BB184" s="118"/>
      <c r="BC184" s="118"/>
      <c r="BD184" s="118"/>
      <c r="BE184" s="118"/>
      <c r="BF184" s="118"/>
      <c r="BG184" s="118"/>
      <c r="BH184" s="118"/>
      <c r="BI184" s="118"/>
      <c r="BJ184" s="118"/>
      <c r="BK184" s="118"/>
      <c r="BL184" s="118"/>
      <c r="BM184" s="118"/>
      <c r="BN184" s="118"/>
      <c r="BO184" s="118"/>
      <c r="BP184" s="118"/>
      <c r="BQ184" s="118"/>
      <c r="BR184" s="118"/>
      <c r="BS184" s="118"/>
      <c r="BT184" s="118"/>
    </row>
    <row r="185" spans="1:72" s="611" customFormat="1" ht="9.75" customHeight="1" x14ac:dyDescent="0.2">
      <c r="A185" s="529"/>
      <c r="B185" s="530"/>
      <c r="C185" s="548"/>
      <c r="D185" s="531"/>
      <c r="E185" s="531"/>
      <c r="F185" s="541"/>
      <c r="G185" s="542"/>
      <c r="H185" s="118"/>
      <c r="I185" s="118"/>
      <c r="J185" s="118"/>
      <c r="K185" s="118"/>
      <c r="L185" s="118"/>
      <c r="M185" s="118"/>
      <c r="N185" s="118"/>
      <c r="O185" s="118"/>
      <c r="P185" s="118"/>
      <c r="Q185" s="118"/>
      <c r="R185" s="118"/>
      <c r="S185" s="118"/>
      <c r="T185" s="118"/>
      <c r="U185" s="118"/>
      <c r="V185" s="118"/>
      <c r="W185" s="118"/>
      <c r="X185" s="118"/>
      <c r="Y185" s="118"/>
      <c r="Z185" s="118"/>
      <c r="AA185" s="118"/>
      <c r="AB185" s="118"/>
      <c r="AC185" s="118"/>
      <c r="AD185" s="118"/>
      <c r="AE185" s="118"/>
      <c r="AF185" s="118"/>
      <c r="AG185" s="118"/>
      <c r="AH185" s="118"/>
      <c r="AI185" s="118"/>
      <c r="AJ185" s="118"/>
      <c r="AK185" s="118"/>
      <c r="AL185" s="118"/>
      <c r="AM185" s="118"/>
      <c r="AN185" s="118"/>
      <c r="AO185" s="118"/>
      <c r="AP185" s="118"/>
      <c r="AQ185" s="118"/>
      <c r="AR185" s="118"/>
      <c r="AS185" s="118"/>
      <c r="AT185" s="118"/>
      <c r="AU185" s="118"/>
      <c r="AV185" s="118"/>
      <c r="AW185" s="118"/>
      <c r="AX185" s="118"/>
      <c r="AY185" s="118"/>
      <c r="AZ185" s="118"/>
      <c r="BA185" s="118"/>
      <c r="BB185" s="118"/>
      <c r="BC185" s="118"/>
      <c r="BD185" s="118"/>
      <c r="BE185" s="118"/>
      <c r="BF185" s="118"/>
      <c r="BG185" s="118"/>
      <c r="BH185" s="118"/>
      <c r="BI185" s="118"/>
      <c r="BJ185" s="118"/>
      <c r="BK185" s="118"/>
      <c r="BL185" s="118"/>
      <c r="BM185" s="118"/>
      <c r="BN185" s="118"/>
      <c r="BO185" s="118"/>
      <c r="BP185" s="118"/>
      <c r="BQ185" s="118"/>
      <c r="BR185" s="118"/>
      <c r="BS185" s="118"/>
      <c r="BT185" s="118"/>
    </row>
    <row r="186" spans="1:72" s="611" customFormat="1" ht="15.75" customHeight="1" x14ac:dyDescent="0.2">
      <c r="A186" s="529"/>
      <c r="B186" s="530"/>
      <c r="C186" s="548"/>
      <c r="D186" s="531"/>
      <c r="E186" s="531"/>
      <c r="F186" s="541"/>
      <c r="G186" s="612">
        <f>SUM(G187:G187)</f>
        <v>23765.71</v>
      </c>
      <c r="H186" s="118"/>
      <c r="I186" s="118"/>
      <c r="J186" s="118"/>
      <c r="K186" s="118"/>
      <c r="L186" s="118"/>
      <c r="M186" s="118"/>
      <c r="N186" s="118"/>
      <c r="O186" s="118"/>
      <c r="P186" s="118"/>
      <c r="Q186" s="118"/>
      <c r="R186" s="118"/>
      <c r="S186" s="118"/>
      <c r="T186" s="118"/>
      <c r="U186" s="118"/>
      <c r="V186" s="118"/>
      <c r="W186" s="118"/>
      <c r="X186" s="118"/>
      <c r="Y186" s="118"/>
      <c r="Z186" s="118"/>
      <c r="AA186" s="118"/>
      <c r="AB186" s="118"/>
      <c r="AC186" s="118"/>
      <c r="AD186" s="118"/>
      <c r="AE186" s="118"/>
      <c r="AF186" s="118"/>
      <c r="AG186" s="118"/>
      <c r="AH186" s="118"/>
      <c r="AI186" s="118"/>
      <c r="AJ186" s="118"/>
      <c r="AK186" s="118"/>
      <c r="AL186" s="118"/>
      <c r="AM186" s="118"/>
      <c r="AN186" s="118"/>
      <c r="AO186" s="118"/>
      <c r="AP186" s="118"/>
      <c r="AQ186" s="118"/>
      <c r="AR186" s="118"/>
      <c r="AS186" s="118"/>
      <c r="AT186" s="118"/>
      <c r="AU186" s="118"/>
      <c r="AV186" s="118"/>
      <c r="AW186" s="118"/>
      <c r="AX186" s="118"/>
      <c r="AY186" s="118"/>
      <c r="AZ186" s="118"/>
      <c r="BA186" s="118"/>
      <c r="BB186" s="118"/>
      <c r="BC186" s="118"/>
      <c r="BD186" s="118"/>
      <c r="BE186" s="118"/>
      <c r="BF186" s="118"/>
      <c r="BG186" s="118"/>
      <c r="BH186" s="118"/>
      <c r="BI186" s="118"/>
      <c r="BJ186" s="118"/>
      <c r="BK186" s="118"/>
      <c r="BL186" s="118"/>
      <c r="BM186" s="118"/>
      <c r="BN186" s="118"/>
      <c r="BO186" s="118"/>
      <c r="BP186" s="118"/>
      <c r="BQ186" s="118"/>
      <c r="BR186" s="118"/>
      <c r="BS186" s="118"/>
      <c r="BT186" s="118"/>
    </row>
    <row r="187" spans="1:72" s="611" customFormat="1" ht="15.75" customHeight="1" x14ac:dyDescent="0.2">
      <c r="A187" s="529"/>
      <c r="B187" s="530"/>
      <c r="C187" s="548"/>
      <c r="D187" s="531"/>
      <c r="E187" s="531" t="s">
        <v>41</v>
      </c>
      <c r="F187" s="541" t="s">
        <v>321</v>
      </c>
      <c r="G187" s="542">
        <f>22832.85+932.86</f>
        <v>23765.71</v>
      </c>
      <c r="H187" s="118"/>
      <c r="I187" s="118"/>
      <c r="J187" s="118"/>
      <c r="K187" s="118"/>
      <c r="L187" s="118"/>
      <c r="M187" s="118"/>
      <c r="N187" s="118"/>
      <c r="O187" s="118"/>
      <c r="P187" s="118"/>
      <c r="Q187" s="118"/>
      <c r="R187" s="118"/>
      <c r="S187" s="118"/>
      <c r="T187" s="118"/>
      <c r="U187" s="118"/>
      <c r="V187" s="118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18"/>
      <c r="AM187" s="118"/>
      <c r="AN187" s="118"/>
      <c r="AO187" s="118"/>
      <c r="AP187" s="118"/>
      <c r="AQ187" s="118"/>
      <c r="AR187" s="118"/>
      <c r="AS187" s="118"/>
      <c r="AT187" s="118"/>
      <c r="AU187" s="118"/>
      <c r="AV187" s="118"/>
      <c r="AW187" s="118"/>
      <c r="AX187" s="118"/>
      <c r="AY187" s="118"/>
      <c r="AZ187" s="118"/>
      <c r="BA187" s="118"/>
      <c r="BB187" s="118"/>
      <c r="BC187" s="118"/>
      <c r="BD187" s="118"/>
      <c r="BE187" s="118"/>
      <c r="BF187" s="118"/>
      <c r="BG187" s="118"/>
      <c r="BH187" s="118"/>
      <c r="BI187" s="118"/>
      <c r="BJ187" s="118"/>
      <c r="BK187" s="118"/>
      <c r="BL187" s="118"/>
      <c r="BM187" s="118"/>
      <c r="BN187" s="118"/>
      <c r="BO187" s="118"/>
      <c r="BP187" s="118"/>
      <c r="BQ187" s="118"/>
      <c r="BR187" s="118"/>
      <c r="BS187" s="118"/>
      <c r="BT187" s="118"/>
    </row>
    <row r="188" spans="1:72" s="611" customFormat="1" ht="9" customHeight="1" x14ac:dyDescent="0.2">
      <c r="A188" s="529"/>
      <c r="B188" s="530"/>
      <c r="C188" s="548"/>
      <c r="D188" s="531"/>
      <c r="E188" s="532"/>
      <c r="F188" s="534"/>
      <c r="G188" s="546"/>
      <c r="H188" s="118"/>
      <c r="I188" s="118"/>
      <c r="J188" s="118"/>
      <c r="K188" s="118"/>
      <c r="L188" s="118"/>
      <c r="M188" s="118"/>
      <c r="N188" s="118"/>
      <c r="O188" s="118"/>
      <c r="P188" s="118"/>
      <c r="Q188" s="118"/>
      <c r="R188" s="118"/>
      <c r="S188" s="118"/>
      <c r="T188" s="118"/>
      <c r="U188" s="118"/>
      <c r="V188" s="118"/>
      <c r="W188" s="118"/>
      <c r="X188" s="118"/>
      <c r="Y188" s="118"/>
      <c r="Z188" s="118"/>
      <c r="AA188" s="118"/>
      <c r="AB188" s="118"/>
      <c r="AC188" s="118"/>
      <c r="AD188" s="118"/>
      <c r="AE188" s="118"/>
      <c r="AF188" s="118"/>
      <c r="AG188" s="118"/>
      <c r="AH188" s="118"/>
      <c r="AI188" s="118"/>
      <c r="AJ188" s="118"/>
      <c r="AK188" s="118"/>
      <c r="AL188" s="118"/>
      <c r="AM188" s="118"/>
      <c r="AN188" s="118"/>
      <c r="AO188" s="118"/>
      <c r="AP188" s="118"/>
      <c r="AQ188" s="118"/>
      <c r="AR188" s="118"/>
      <c r="AS188" s="118"/>
      <c r="AT188" s="118"/>
      <c r="AU188" s="118"/>
      <c r="AV188" s="118"/>
      <c r="AW188" s="118"/>
      <c r="AX188" s="118"/>
      <c r="AY188" s="118"/>
      <c r="AZ188" s="118"/>
      <c r="BA188" s="118"/>
      <c r="BB188" s="118"/>
      <c r="BC188" s="118"/>
      <c r="BD188" s="118"/>
      <c r="BE188" s="118"/>
      <c r="BF188" s="118"/>
      <c r="BG188" s="118"/>
      <c r="BH188" s="118"/>
      <c r="BI188" s="118"/>
      <c r="BJ188" s="118"/>
      <c r="BK188" s="118"/>
      <c r="BL188" s="118"/>
      <c r="BM188" s="118"/>
      <c r="BN188" s="118"/>
      <c r="BO188" s="118"/>
      <c r="BP188" s="118"/>
      <c r="BQ188" s="118"/>
      <c r="BR188" s="118"/>
      <c r="BS188" s="118"/>
      <c r="BT188" s="118"/>
    </row>
    <row r="189" spans="1:72" s="611" customFormat="1" ht="20.25" customHeight="1" x14ac:dyDescent="0.2">
      <c r="A189" s="529"/>
      <c r="B189" s="613" t="s">
        <v>185</v>
      </c>
      <c r="C189" s="531"/>
      <c r="D189" s="531"/>
      <c r="E189" s="532" t="s">
        <v>321</v>
      </c>
      <c r="F189" s="534" t="s">
        <v>321</v>
      </c>
      <c r="G189" s="533">
        <f>SUM(G191)</f>
        <v>265.13</v>
      </c>
      <c r="H189" s="118"/>
      <c r="I189" s="118"/>
      <c r="J189" s="118"/>
      <c r="K189" s="118"/>
      <c r="L189" s="118"/>
      <c r="M189" s="118"/>
      <c r="N189" s="118"/>
      <c r="O189" s="118"/>
      <c r="P189" s="118"/>
      <c r="Q189" s="118"/>
      <c r="R189" s="118"/>
      <c r="S189" s="118"/>
      <c r="T189" s="118"/>
      <c r="U189" s="118"/>
      <c r="V189" s="118"/>
      <c r="W189" s="118"/>
      <c r="X189" s="118"/>
      <c r="Y189" s="118"/>
      <c r="Z189" s="118"/>
      <c r="AA189" s="118"/>
      <c r="AB189" s="118"/>
      <c r="AC189" s="118"/>
      <c r="AD189" s="118"/>
      <c r="AE189" s="118"/>
      <c r="AF189" s="118"/>
      <c r="AG189" s="118"/>
      <c r="AH189" s="118"/>
      <c r="AI189" s="118"/>
      <c r="AJ189" s="118"/>
      <c r="AK189" s="118"/>
      <c r="AL189" s="118"/>
      <c r="AM189" s="118"/>
      <c r="AN189" s="118"/>
      <c r="AO189" s="118"/>
      <c r="AP189" s="118"/>
      <c r="AQ189" s="118"/>
      <c r="AR189" s="118"/>
      <c r="AS189" s="118"/>
      <c r="AT189" s="118"/>
      <c r="AU189" s="118"/>
      <c r="AV189" s="118"/>
      <c r="AW189" s="118"/>
      <c r="AX189" s="118"/>
      <c r="AY189" s="118"/>
      <c r="AZ189" s="118"/>
      <c r="BA189" s="118"/>
      <c r="BB189" s="118"/>
      <c r="BC189" s="118"/>
      <c r="BD189" s="118"/>
      <c r="BE189" s="118"/>
      <c r="BF189" s="118"/>
      <c r="BG189" s="118"/>
      <c r="BH189" s="118"/>
      <c r="BI189" s="118"/>
      <c r="BJ189" s="118"/>
      <c r="BK189" s="118"/>
      <c r="BL189" s="118"/>
      <c r="BM189" s="118"/>
      <c r="BN189" s="118"/>
      <c r="BO189" s="118"/>
      <c r="BP189" s="118"/>
      <c r="BQ189" s="118"/>
      <c r="BR189" s="118"/>
      <c r="BS189" s="118"/>
      <c r="BT189" s="118"/>
    </row>
    <row r="190" spans="1:72" s="611" customFormat="1" ht="9.75" customHeight="1" x14ac:dyDescent="0.2">
      <c r="A190" s="529"/>
      <c r="B190" s="530"/>
      <c r="C190" s="548"/>
      <c r="D190" s="531"/>
      <c r="E190" s="531"/>
      <c r="F190" s="541"/>
      <c r="G190" s="542"/>
      <c r="H190" s="118"/>
      <c r="I190" s="118"/>
      <c r="J190" s="118"/>
      <c r="K190" s="118"/>
      <c r="L190" s="118"/>
      <c r="M190" s="118"/>
      <c r="N190" s="118"/>
      <c r="O190" s="118"/>
      <c r="P190" s="118"/>
      <c r="Q190" s="118"/>
      <c r="R190" s="118"/>
      <c r="S190" s="118"/>
      <c r="T190" s="118"/>
      <c r="U190" s="118"/>
      <c r="V190" s="118"/>
      <c r="W190" s="118"/>
      <c r="X190" s="118"/>
      <c r="Y190" s="118"/>
      <c r="Z190" s="118"/>
      <c r="AA190" s="118"/>
      <c r="AB190" s="118"/>
      <c r="AC190" s="118"/>
      <c r="AD190" s="118"/>
      <c r="AE190" s="118"/>
      <c r="AF190" s="118"/>
      <c r="AG190" s="118"/>
      <c r="AH190" s="118"/>
      <c r="AI190" s="118"/>
      <c r="AJ190" s="118"/>
      <c r="AK190" s="118"/>
      <c r="AL190" s="118"/>
      <c r="AM190" s="118"/>
      <c r="AN190" s="118"/>
      <c r="AO190" s="118"/>
      <c r="AP190" s="118"/>
      <c r="AQ190" s="118"/>
      <c r="AR190" s="118"/>
      <c r="AS190" s="118"/>
      <c r="AT190" s="118"/>
      <c r="AU190" s="118"/>
      <c r="AV190" s="118"/>
      <c r="AW190" s="118"/>
      <c r="AX190" s="118"/>
      <c r="AY190" s="118"/>
      <c r="AZ190" s="118"/>
      <c r="BA190" s="118"/>
      <c r="BB190" s="118"/>
      <c r="BC190" s="118"/>
      <c r="BD190" s="118"/>
      <c r="BE190" s="118"/>
      <c r="BF190" s="118"/>
      <c r="BG190" s="118"/>
      <c r="BH190" s="118"/>
      <c r="BI190" s="118"/>
      <c r="BJ190" s="118"/>
      <c r="BK190" s="118"/>
      <c r="BL190" s="118"/>
      <c r="BM190" s="118"/>
      <c r="BN190" s="118"/>
      <c r="BO190" s="118"/>
      <c r="BP190" s="118"/>
      <c r="BQ190" s="118"/>
      <c r="BR190" s="118"/>
      <c r="BS190" s="118"/>
      <c r="BT190" s="118"/>
    </row>
    <row r="191" spans="1:72" s="611" customFormat="1" ht="15.75" customHeight="1" x14ac:dyDescent="0.2">
      <c r="A191" s="529"/>
      <c r="B191" s="530"/>
      <c r="C191" s="548"/>
      <c r="D191" s="531"/>
      <c r="E191" s="531"/>
      <c r="F191" s="541"/>
      <c r="G191" s="612">
        <f>SUM(G192:G193)</f>
        <v>265.13</v>
      </c>
      <c r="H191" s="118"/>
      <c r="I191" s="118"/>
      <c r="J191" s="118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18"/>
      <c r="X191" s="118"/>
      <c r="Y191" s="118"/>
      <c r="Z191" s="118"/>
      <c r="AA191" s="118"/>
      <c r="AB191" s="118"/>
      <c r="AC191" s="118"/>
      <c r="AD191" s="118"/>
      <c r="AE191" s="118"/>
      <c r="AF191" s="118"/>
      <c r="AG191" s="118"/>
      <c r="AH191" s="118"/>
      <c r="AI191" s="118"/>
      <c r="AJ191" s="118"/>
      <c r="AK191" s="118"/>
      <c r="AL191" s="118"/>
      <c r="AM191" s="118"/>
      <c r="AN191" s="118"/>
      <c r="AO191" s="118"/>
      <c r="AP191" s="118"/>
      <c r="AQ191" s="118"/>
      <c r="AR191" s="118"/>
      <c r="AS191" s="118"/>
      <c r="AT191" s="118"/>
      <c r="AU191" s="118"/>
      <c r="AV191" s="118"/>
      <c r="AW191" s="118"/>
      <c r="AX191" s="118"/>
      <c r="AY191" s="118"/>
      <c r="AZ191" s="118"/>
      <c r="BA191" s="118"/>
      <c r="BB191" s="118"/>
      <c r="BC191" s="118"/>
      <c r="BD191" s="118"/>
      <c r="BE191" s="118"/>
      <c r="BF191" s="118"/>
      <c r="BG191" s="118"/>
      <c r="BH191" s="118"/>
      <c r="BI191" s="118"/>
      <c r="BJ191" s="118"/>
      <c r="BK191" s="118"/>
      <c r="BL191" s="118"/>
      <c r="BM191" s="118"/>
      <c r="BN191" s="118"/>
      <c r="BO191" s="118"/>
      <c r="BP191" s="118"/>
      <c r="BQ191" s="118"/>
      <c r="BR191" s="118"/>
      <c r="BS191" s="118"/>
      <c r="BT191" s="118"/>
    </row>
    <row r="192" spans="1:72" s="611" customFormat="1" ht="15.75" customHeight="1" x14ac:dyDescent="0.2">
      <c r="A192" s="529"/>
      <c r="B192" s="530"/>
      <c r="C192" s="548"/>
      <c r="D192" s="531"/>
      <c r="E192" s="531" t="s">
        <v>192</v>
      </c>
      <c r="F192" s="541" t="s">
        <v>321</v>
      </c>
      <c r="G192" s="542">
        <f>27.23</f>
        <v>27.23</v>
      </c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18"/>
      <c r="X192" s="118"/>
      <c r="Y192" s="118"/>
      <c r="Z192" s="118"/>
      <c r="AA192" s="118"/>
      <c r="AB192" s="118"/>
      <c r="AC192" s="118"/>
      <c r="AD192" s="118"/>
      <c r="AE192" s="118"/>
      <c r="AF192" s="118"/>
      <c r="AG192" s="118"/>
      <c r="AH192" s="118"/>
      <c r="AI192" s="118"/>
      <c r="AJ192" s="118"/>
      <c r="AK192" s="118"/>
      <c r="AL192" s="118"/>
      <c r="AM192" s="118"/>
      <c r="AN192" s="118"/>
      <c r="AO192" s="118"/>
      <c r="AP192" s="118"/>
      <c r="AQ192" s="118"/>
      <c r="AR192" s="118"/>
      <c r="AS192" s="118"/>
      <c r="AT192" s="118"/>
      <c r="AU192" s="118"/>
      <c r="AV192" s="118"/>
      <c r="AW192" s="118"/>
      <c r="AX192" s="118"/>
      <c r="AY192" s="118"/>
      <c r="AZ192" s="118"/>
      <c r="BA192" s="118"/>
      <c r="BB192" s="118"/>
      <c r="BC192" s="118"/>
      <c r="BD192" s="118"/>
      <c r="BE192" s="118"/>
      <c r="BF192" s="118"/>
      <c r="BG192" s="118"/>
      <c r="BH192" s="118"/>
      <c r="BI192" s="118"/>
      <c r="BJ192" s="118"/>
      <c r="BK192" s="118"/>
      <c r="BL192" s="118"/>
      <c r="BM192" s="118"/>
      <c r="BN192" s="118"/>
      <c r="BO192" s="118"/>
      <c r="BP192" s="118"/>
      <c r="BQ192" s="118"/>
      <c r="BR192" s="118"/>
      <c r="BS192" s="118"/>
      <c r="BT192" s="118"/>
    </row>
    <row r="193" spans="1:16135" s="611" customFormat="1" ht="15.75" customHeight="1" x14ac:dyDescent="0.2">
      <c r="A193" s="529"/>
      <c r="B193" s="530"/>
      <c r="C193" s="548"/>
      <c r="D193" s="531"/>
      <c r="E193" s="531" t="s">
        <v>41</v>
      </c>
      <c r="F193" s="541" t="s">
        <v>321</v>
      </c>
      <c r="G193" s="542">
        <f>228.59+9.31</f>
        <v>237.9</v>
      </c>
      <c r="H193" s="118"/>
      <c r="I193" s="118"/>
      <c r="J193" s="118"/>
      <c r="K193" s="118"/>
      <c r="L193" s="118"/>
      <c r="M193" s="118"/>
      <c r="N193" s="118"/>
      <c r="O193" s="118"/>
      <c r="P193" s="118"/>
      <c r="Q193" s="118"/>
      <c r="R193" s="118"/>
      <c r="S193" s="118"/>
      <c r="T193" s="118"/>
      <c r="U193" s="118"/>
      <c r="V193" s="118"/>
      <c r="W193" s="118"/>
      <c r="X193" s="118"/>
      <c r="Y193" s="118"/>
      <c r="Z193" s="118"/>
      <c r="AA193" s="118"/>
      <c r="AB193" s="118"/>
      <c r="AC193" s="118"/>
      <c r="AD193" s="118"/>
      <c r="AE193" s="118"/>
      <c r="AF193" s="118"/>
      <c r="AG193" s="118"/>
      <c r="AH193" s="118"/>
      <c r="AI193" s="118"/>
      <c r="AJ193" s="118"/>
      <c r="AK193" s="118"/>
      <c r="AL193" s="118"/>
      <c r="AM193" s="118"/>
      <c r="AN193" s="118"/>
      <c r="AO193" s="118"/>
      <c r="AP193" s="118"/>
      <c r="AQ193" s="118"/>
      <c r="AR193" s="118"/>
      <c r="AS193" s="118"/>
      <c r="AT193" s="118"/>
      <c r="AU193" s="118"/>
      <c r="AV193" s="118"/>
      <c r="AW193" s="118"/>
      <c r="AX193" s="118"/>
      <c r="AY193" s="118"/>
      <c r="AZ193" s="118"/>
      <c r="BA193" s="118"/>
      <c r="BB193" s="118"/>
      <c r="BC193" s="118"/>
      <c r="BD193" s="118"/>
      <c r="BE193" s="118"/>
      <c r="BF193" s="118"/>
      <c r="BG193" s="118"/>
      <c r="BH193" s="118"/>
      <c r="BI193" s="118"/>
      <c r="BJ193" s="118"/>
      <c r="BK193" s="118"/>
      <c r="BL193" s="118"/>
      <c r="BM193" s="118"/>
      <c r="BN193" s="118"/>
      <c r="BO193" s="118"/>
      <c r="BP193" s="118"/>
      <c r="BQ193" s="118"/>
      <c r="BR193" s="118"/>
      <c r="BS193" s="118"/>
      <c r="BT193" s="118"/>
    </row>
    <row r="194" spans="1:16135" s="611" customFormat="1" ht="15.75" customHeight="1" x14ac:dyDescent="0.2">
      <c r="A194" s="543"/>
      <c r="B194" s="544"/>
      <c r="C194" s="545"/>
      <c r="D194" s="532"/>
      <c r="E194" s="532"/>
      <c r="F194" s="534"/>
      <c r="G194" s="546"/>
      <c r="H194" s="118"/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18"/>
      <c r="X194" s="118"/>
      <c r="Y194" s="118"/>
      <c r="Z194" s="118"/>
      <c r="AA194" s="118"/>
      <c r="AB194" s="118"/>
      <c r="AC194" s="118"/>
      <c r="AD194" s="118"/>
      <c r="AE194" s="118"/>
      <c r="AF194" s="118"/>
      <c r="AG194" s="118"/>
      <c r="AH194" s="118"/>
      <c r="AI194" s="118"/>
      <c r="AJ194" s="118"/>
      <c r="AK194" s="118"/>
      <c r="AL194" s="118"/>
      <c r="AM194" s="118"/>
      <c r="AN194" s="118"/>
      <c r="AO194" s="118"/>
      <c r="AP194" s="118"/>
      <c r="AQ194" s="118"/>
      <c r="AR194" s="118"/>
      <c r="AS194" s="118"/>
      <c r="AT194" s="118"/>
      <c r="AU194" s="118"/>
      <c r="AV194" s="118"/>
      <c r="AW194" s="118"/>
      <c r="AX194" s="118"/>
      <c r="AY194" s="118"/>
      <c r="AZ194" s="118"/>
      <c r="BA194" s="118"/>
      <c r="BB194" s="118"/>
      <c r="BC194" s="118"/>
      <c r="BD194" s="118"/>
      <c r="BE194" s="118"/>
      <c r="BF194" s="118"/>
      <c r="BG194" s="118"/>
      <c r="BH194" s="118"/>
      <c r="BI194" s="118"/>
      <c r="BJ194" s="118"/>
      <c r="BK194" s="118"/>
      <c r="BL194" s="118"/>
      <c r="BM194" s="118"/>
      <c r="BN194" s="118"/>
      <c r="BO194" s="118"/>
      <c r="BP194" s="118"/>
      <c r="BQ194" s="118"/>
      <c r="BR194" s="118"/>
      <c r="BS194" s="118"/>
      <c r="BT194" s="118"/>
    </row>
    <row r="195" spans="1:16135" s="611" customFormat="1" ht="15.75" customHeight="1" x14ac:dyDescent="0.2">
      <c r="A195" s="529"/>
      <c r="B195" s="530"/>
      <c r="C195" s="531"/>
      <c r="D195" s="531"/>
      <c r="E195" s="532" t="s">
        <v>111</v>
      </c>
      <c r="F195" s="533">
        <f>20000</f>
        <v>20000</v>
      </c>
      <c r="G195" s="534" t="s">
        <v>321</v>
      </c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18"/>
      <c r="V195" s="118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18"/>
      <c r="AH195" s="118"/>
      <c r="AI195" s="118"/>
      <c r="AJ195" s="118"/>
      <c r="AK195" s="118"/>
      <c r="AL195" s="118"/>
      <c r="AM195" s="118"/>
      <c r="AN195" s="118"/>
      <c r="AO195" s="118"/>
      <c r="AP195" s="118"/>
      <c r="AQ195" s="118"/>
      <c r="AR195" s="118"/>
      <c r="AS195" s="118"/>
      <c r="AT195" s="118"/>
      <c r="AU195" s="118"/>
      <c r="AV195" s="118"/>
      <c r="AW195" s="118"/>
      <c r="AX195" s="118"/>
      <c r="AY195" s="118"/>
      <c r="AZ195" s="118"/>
      <c r="BA195" s="118"/>
      <c r="BB195" s="118"/>
      <c r="BC195" s="118"/>
      <c r="BD195" s="118"/>
      <c r="BE195" s="118"/>
      <c r="BF195" s="118"/>
      <c r="BG195" s="118"/>
      <c r="BH195" s="118"/>
      <c r="BI195" s="118"/>
      <c r="BJ195" s="118"/>
      <c r="BK195" s="118"/>
      <c r="BL195" s="118"/>
      <c r="BM195" s="118"/>
      <c r="BN195" s="118"/>
      <c r="BO195" s="118"/>
      <c r="BP195" s="118"/>
      <c r="BQ195" s="118"/>
      <c r="BR195" s="118"/>
      <c r="BS195" s="118"/>
      <c r="BT195" s="118"/>
    </row>
    <row r="196" spans="1:16135" s="611" customFormat="1" ht="15.75" customHeight="1" x14ac:dyDescent="0.2">
      <c r="A196" s="535" t="s">
        <v>85</v>
      </c>
      <c r="B196" s="547" t="s">
        <v>541</v>
      </c>
      <c r="C196" s="531" t="s">
        <v>537</v>
      </c>
      <c r="D196" s="531" t="s">
        <v>542</v>
      </c>
      <c r="E196" s="537" t="s">
        <v>321</v>
      </c>
      <c r="F196" s="538" t="s">
        <v>321</v>
      </c>
      <c r="G196" s="539">
        <f>SUM(G198)</f>
        <v>20000</v>
      </c>
      <c r="H196" s="118"/>
      <c r="I196" s="118"/>
      <c r="J196" s="118"/>
      <c r="K196" s="118"/>
      <c r="L196" s="118"/>
      <c r="M196" s="118"/>
      <c r="N196" s="118"/>
      <c r="O196" s="118"/>
      <c r="P196" s="118"/>
      <c r="Q196" s="118"/>
      <c r="R196" s="118"/>
      <c r="S196" s="118"/>
      <c r="T196" s="118"/>
      <c r="U196" s="118"/>
      <c r="V196" s="118"/>
      <c r="W196" s="118"/>
      <c r="X196" s="118"/>
      <c r="Y196" s="118"/>
      <c r="Z196" s="118"/>
      <c r="AA196" s="118"/>
      <c r="AB196" s="118"/>
      <c r="AC196" s="118"/>
      <c r="AD196" s="118"/>
      <c r="AE196" s="118"/>
      <c r="AF196" s="118"/>
      <c r="AG196" s="118"/>
      <c r="AH196" s="118"/>
      <c r="AI196" s="118"/>
      <c r="AJ196" s="118"/>
      <c r="AK196" s="118"/>
      <c r="AL196" s="118"/>
      <c r="AM196" s="118"/>
      <c r="AN196" s="118"/>
      <c r="AO196" s="118"/>
      <c r="AP196" s="118"/>
      <c r="AQ196" s="118"/>
      <c r="AR196" s="118"/>
      <c r="AS196" s="118"/>
      <c r="AT196" s="118"/>
      <c r="AU196" s="118"/>
      <c r="AV196" s="118"/>
      <c r="AW196" s="118"/>
      <c r="AX196" s="118"/>
      <c r="AY196" s="118"/>
      <c r="AZ196" s="118"/>
      <c r="BA196" s="118"/>
      <c r="BB196" s="118"/>
      <c r="BC196" s="118"/>
      <c r="BD196" s="118"/>
      <c r="BE196" s="118"/>
      <c r="BF196" s="118"/>
      <c r="BG196" s="118"/>
      <c r="BH196" s="118"/>
      <c r="BI196" s="118"/>
      <c r="BJ196" s="118"/>
      <c r="BK196" s="118"/>
      <c r="BL196" s="118"/>
      <c r="BM196" s="118"/>
      <c r="BN196" s="118"/>
      <c r="BO196" s="118"/>
      <c r="BP196" s="118"/>
      <c r="BQ196" s="118"/>
      <c r="BR196" s="118"/>
      <c r="BS196" s="118"/>
      <c r="BT196" s="118"/>
    </row>
    <row r="197" spans="1:16135" s="611" customFormat="1" ht="15.75" customHeight="1" x14ac:dyDescent="0.2">
      <c r="A197" s="529"/>
      <c r="B197" s="540"/>
      <c r="C197" s="531"/>
      <c r="D197" s="531"/>
      <c r="E197" s="531"/>
      <c r="F197" s="541"/>
      <c r="G197" s="612"/>
      <c r="H197" s="118"/>
      <c r="I197" s="118"/>
      <c r="J197" s="118"/>
      <c r="K197" s="118"/>
      <c r="L197" s="118"/>
      <c r="M197" s="118"/>
      <c r="N197" s="118"/>
      <c r="O197" s="118"/>
      <c r="P197" s="118"/>
      <c r="Q197" s="118"/>
      <c r="R197" s="118"/>
      <c r="S197" s="118"/>
      <c r="T197" s="118"/>
      <c r="U197" s="118"/>
      <c r="V197" s="118"/>
      <c r="W197" s="118"/>
      <c r="X197" s="118"/>
      <c r="Y197" s="118"/>
      <c r="Z197" s="118"/>
      <c r="AA197" s="118"/>
      <c r="AB197" s="118"/>
      <c r="AC197" s="118"/>
      <c r="AD197" s="118"/>
      <c r="AE197" s="118"/>
      <c r="AF197" s="118"/>
      <c r="AG197" s="118"/>
      <c r="AH197" s="118"/>
      <c r="AI197" s="118"/>
      <c r="AJ197" s="118"/>
      <c r="AK197" s="118"/>
      <c r="AL197" s="118"/>
      <c r="AM197" s="118"/>
      <c r="AN197" s="118"/>
      <c r="AO197" s="118"/>
      <c r="AP197" s="118"/>
      <c r="AQ197" s="118"/>
      <c r="AR197" s="118"/>
      <c r="AS197" s="118"/>
      <c r="AT197" s="118"/>
      <c r="AU197" s="118"/>
      <c r="AV197" s="118"/>
      <c r="AW197" s="118"/>
      <c r="AX197" s="118"/>
      <c r="AY197" s="118"/>
      <c r="AZ197" s="118"/>
      <c r="BA197" s="118"/>
      <c r="BB197" s="118"/>
      <c r="BC197" s="118"/>
      <c r="BD197" s="118"/>
      <c r="BE197" s="118"/>
      <c r="BF197" s="118"/>
      <c r="BG197" s="118"/>
      <c r="BH197" s="118"/>
      <c r="BI197" s="118"/>
      <c r="BJ197" s="118"/>
      <c r="BK197" s="118"/>
      <c r="BL197" s="118"/>
      <c r="BM197" s="118"/>
      <c r="BN197" s="118"/>
      <c r="BO197" s="118"/>
      <c r="BP197" s="118"/>
      <c r="BQ197" s="118"/>
      <c r="BR197" s="118"/>
      <c r="BS197" s="118"/>
      <c r="BT197" s="118"/>
    </row>
    <row r="198" spans="1:16135" s="611" customFormat="1" ht="15.75" customHeight="1" x14ac:dyDescent="0.2">
      <c r="A198" s="529"/>
      <c r="B198" s="613" t="s">
        <v>185</v>
      </c>
      <c r="C198" s="531"/>
      <c r="D198" s="531"/>
      <c r="E198" s="531"/>
      <c r="F198" s="541"/>
      <c r="G198" s="612">
        <f>SUM(G199:G199)</f>
        <v>20000</v>
      </c>
      <c r="H198" s="118"/>
      <c r="I198" s="118"/>
      <c r="J198" s="118"/>
      <c r="K198" s="118"/>
      <c r="L198" s="118"/>
      <c r="M198" s="118"/>
      <c r="N198" s="118"/>
      <c r="O198" s="118"/>
      <c r="P198" s="118"/>
      <c r="Q198" s="118"/>
      <c r="R198" s="118"/>
      <c r="S198" s="118"/>
      <c r="T198" s="118"/>
      <c r="U198" s="118"/>
      <c r="V198" s="118"/>
      <c r="W198" s="118"/>
      <c r="X198" s="118"/>
      <c r="Y198" s="118"/>
      <c r="Z198" s="118"/>
      <c r="AA198" s="118"/>
      <c r="AB198" s="118"/>
      <c r="AC198" s="118"/>
      <c r="AD198" s="118"/>
      <c r="AE198" s="118"/>
      <c r="AF198" s="118"/>
      <c r="AG198" s="118"/>
      <c r="AH198" s="118"/>
      <c r="AI198" s="118"/>
      <c r="AJ198" s="118"/>
      <c r="AK198" s="118"/>
      <c r="AL198" s="118"/>
      <c r="AM198" s="118"/>
      <c r="AN198" s="118"/>
      <c r="AO198" s="118"/>
      <c r="AP198" s="118"/>
      <c r="AQ198" s="118"/>
      <c r="AR198" s="118"/>
      <c r="AS198" s="118"/>
      <c r="AT198" s="118"/>
      <c r="AU198" s="118"/>
      <c r="AV198" s="118"/>
      <c r="AW198" s="118"/>
      <c r="AX198" s="118"/>
      <c r="AY198" s="118"/>
      <c r="AZ198" s="118"/>
      <c r="BA198" s="118"/>
      <c r="BB198" s="118"/>
      <c r="BC198" s="118"/>
      <c r="BD198" s="118"/>
      <c r="BE198" s="118"/>
      <c r="BF198" s="118"/>
      <c r="BG198" s="118"/>
      <c r="BH198" s="118"/>
      <c r="BI198" s="118"/>
      <c r="BJ198" s="118"/>
      <c r="BK198" s="118"/>
      <c r="BL198" s="118"/>
      <c r="BM198" s="118"/>
      <c r="BN198" s="118"/>
      <c r="BO198" s="118"/>
      <c r="BP198" s="118"/>
      <c r="BQ198" s="118"/>
      <c r="BR198" s="118"/>
      <c r="BS198" s="118"/>
      <c r="BT198" s="118"/>
    </row>
    <row r="199" spans="1:16135" s="611" customFormat="1" ht="15.75" customHeight="1" x14ac:dyDescent="0.2">
      <c r="A199" s="529"/>
      <c r="B199" s="530"/>
      <c r="C199" s="548"/>
      <c r="D199" s="531"/>
      <c r="E199" s="531" t="s">
        <v>500</v>
      </c>
      <c r="F199" s="541" t="s">
        <v>321</v>
      </c>
      <c r="G199" s="542">
        <v>20000</v>
      </c>
      <c r="H199" s="118"/>
      <c r="I199" s="118"/>
      <c r="J199" s="118"/>
      <c r="K199" s="118"/>
      <c r="L199" s="118"/>
      <c r="M199" s="118"/>
      <c r="N199" s="118"/>
      <c r="O199" s="118"/>
      <c r="P199" s="118"/>
      <c r="Q199" s="118"/>
      <c r="R199" s="118"/>
      <c r="S199" s="118"/>
      <c r="T199" s="118"/>
      <c r="U199" s="118"/>
      <c r="V199" s="118"/>
      <c r="W199" s="118"/>
      <c r="X199" s="118"/>
      <c r="Y199" s="118"/>
      <c r="Z199" s="118"/>
      <c r="AA199" s="118"/>
      <c r="AB199" s="118"/>
      <c r="AC199" s="118"/>
      <c r="AD199" s="118"/>
      <c r="AE199" s="118"/>
      <c r="AF199" s="118"/>
      <c r="AG199" s="118"/>
      <c r="AH199" s="118"/>
      <c r="AI199" s="118"/>
      <c r="AJ199" s="118"/>
      <c r="AK199" s="118"/>
      <c r="AL199" s="118"/>
      <c r="AM199" s="118"/>
      <c r="AN199" s="118"/>
      <c r="AO199" s="118"/>
      <c r="AP199" s="118"/>
      <c r="AQ199" s="118"/>
      <c r="AR199" s="118"/>
      <c r="AS199" s="118"/>
      <c r="AT199" s="118"/>
      <c r="AU199" s="118"/>
      <c r="AV199" s="118"/>
      <c r="AW199" s="118"/>
      <c r="AX199" s="118"/>
      <c r="AY199" s="118"/>
      <c r="AZ199" s="118"/>
      <c r="BA199" s="118"/>
      <c r="BB199" s="118"/>
      <c r="BC199" s="118"/>
      <c r="BD199" s="118"/>
      <c r="BE199" s="118"/>
      <c r="BF199" s="118"/>
      <c r="BG199" s="118"/>
      <c r="BH199" s="118"/>
      <c r="BI199" s="118"/>
      <c r="BJ199" s="118"/>
      <c r="BK199" s="118"/>
      <c r="BL199" s="118"/>
      <c r="BM199" s="118"/>
      <c r="BN199" s="118"/>
      <c r="BO199" s="118"/>
      <c r="BP199" s="118"/>
      <c r="BQ199" s="118"/>
      <c r="BR199" s="118"/>
      <c r="BS199" s="118"/>
      <c r="BT199" s="118"/>
    </row>
    <row r="200" spans="1:16135" s="611" customFormat="1" ht="12" customHeight="1" x14ac:dyDescent="0.2">
      <c r="A200" s="543"/>
      <c r="B200" s="544"/>
      <c r="C200" s="545"/>
      <c r="D200" s="532"/>
      <c r="E200" s="532"/>
      <c r="F200" s="534"/>
      <c r="G200" s="546"/>
      <c r="H200" s="118"/>
      <c r="I200" s="118"/>
      <c r="J200" s="118"/>
      <c r="K200" s="118"/>
      <c r="L200" s="118"/>
      <c r="M200" s="118"/>
      <c r="N200" s="118"/>
      <c r="O200" s="118"/>
      <c r="P200" s="118"/>
      <c r="Q200" s="118"/>
      <c r="R200" s="118"/>
      <c r="S200" s="118"/>
      <c r="T200" s="118"/>
      <c r="U200" s="118"/>
      <c r="V200" s="118"/>
      <c r="W200" s="118"/>
      <c r="X200" s="118"/>
      <c r="Y200" s="118"/>
      <c r="Z200" s="118"/>
      <c r="AA200" s="118"/>
      <c r="AB200" s="118"/>
      <c r="AC200" s="118"/>
      <c r="AD200" s="118"/>
      <c r="AE200" s="118"/>
      <c r="AF200" s="118"/>
      <c r="AG200" s="118"/>
      <c r="AH200" s="118"/>
      <c r="AI200" s="118"/>
      <c r="AJ200" s="118"/>
      <c r="AK200" s="118"/>
      <c r="AL200" s="118"/>
      <c r="AM200" s="118"/>
      <c r="AN200" s="118"/>
      <c r="AO200" s="118"/>
      <c r="AP200" s="118"/>
      <c r="AQ200" s="118"/>
      <c r="AR200" s="118"/>
      <c r="AS200" s="118"/>
      <c r="AT200" s="118"/>
      <c r="AU200" s="118"/>
      <c r="AV200" s="118"/>
      <c r="AW200" s="118"/>
      <c r="AX200" s="118"/>
      <c r="AY200" s="118"/>
      <c r="AZ200" s="118"/>
      <c r="BA200" s="118"/>
      <c r="BB200" s="118"/>
      <c r="BC200" s="118"/>
      <c r="BD200" s="118"/>
      <c r="BE200" s="118"/>
      <c r="BF200" s="118"/>
      <c r="BG200" s="118"/>
      <c r="BH200" s="118"/>
      <c r="BI200" s="118"/>
      <c r="BJ200" s="118"/>
      <c r="BK200" s="118"/>
      <c r="BL200" s="118"/>
      <c r="BM200" s="118"/>
      <c r="BN200" s="118"/>
      <c r="BO200" s="118"/>
      <c r="BP200" s="118"/>
      <c r="BQ200" s="118"/>
      <c r="BR200" s="118"/>
      <c r="BS200" s="118"/>
      <c r="BT200" s="118"/>
    </row>
    <row r="201" spans="1:16135" s="525" customFormat="1" ht="27" customHeight="1" x14ac:dyDescent="0.2">
      <c r="A201" s="617"/>
      <c r="B201" s="618" t="s">
        <v>342</v>
      </c>
      <c r="C201" s="619"/>
      <c r="D201" s="620"/>
      <c r="E201" s="621"/>
      <c r="F201" s="621">
        <f>SUM(F12,F18,F26,F34,F42,F52,F60,F66,F73,F181,F195)</f>
        <v>4895618.8899999997</v>
      </c>
      <c r="G201" s="621">
        <f>SUM(G13,G19,G27,G35,G43,G53,G61,G67,G74,G182,G196)</f>
        <v>5048946.7</v>
      </c>
      <c r="H201" s="524"/>
      <c r="I201" s="524"/>
      <c r="J201" s="524"/>
      <c r="K201" s="524"/>
      <c r="L201" s="524"/>
      <c r="M201" s="524"/>
      <c r="N201" s="524"/>
      <c r="O201" s="524"/>
      <c r="P201" s="524"/>
      <c r="Q201" s="524"/>
      <c r="R201" s="524"/>
      <c r="S201" s="524"/>
      <c r="T201" s="524"/>
      <c r="U201" s="524"/>
      <c r="V201" s="524"/>
      <c r="W201" s="524"/>
      <c r="X201" s="524"/>
      <c r="Y201" s="524"/>
      <c r="Z201" s="524"/>
      <c r="AA201" s="524"/>
      <c r="AB201" s="524"/>
      <c r="AC201" s="524"/>
      <c r="AD201" s="524"/>
      <c r="AE201" s="524"/>
      <c r="AF201" s="524"/>
      <c r="AG201" s="524"/>
      <c r="AH201" s="524"/>
      <c r="AI201" s="524"/>
      <c r="AJ201" s="524"/>
      <c r="AK201" s="524"/>
      <c r="AL201" s="524"/>
      <c r="AM201" s="524"/>
      <c r="AN201" s="524"/>
      <c r="AO201" s="524"/>
      <c r="AP201" s="524"/>
      <c r="AQ201" s="524"/>
      <c r="AR201" s="524"/>
      <c r="AS201" s="524"/>
      <c r="AT201" s="524"/>
      <c r="AU201" s="524"/>
      <c r="AV201" s="524"/>
      <c r="AW201" s="524"/>
      <c r="AX201" s="524"/>
      <c r="AY201" s="524"/>
      <c r="AZ201" s="524"/>
      <c r="BA201" s="524"/>
      <c r="BB201" s="524"/>
      <c r="BC201" s="524"/>
      <c r="BD201" s="524"/>
      <c r="BE201" s="524"/>
      <c r="BF201" s="524"/>
      <c r="BG201" s="524"/>
      <c r="BH201" s="524"/>
      <c r="BI201" s="524"/>
      <c r="BJ201" s="524"/>
      <c r="BK201" s="524"/>
      <c r="BL201" s="524"/>
      <c r="BM201" s="524"/>
      <c r="BN201" s="524"/>
      <c r="BO201" s="524"/>
      <c r="BP201" s="524"/>
      <c r="BQ201" s="524"/>
      <c r="BR201" s="524"/>
      <c r="BS201" s="524"/>
      <c r="BT201" s="524"/>
    </row>
    <row r="202" spans="1:16135" x14ac:dyDescent="0.25">
      <c r="F202" s="551"/>
      <c r="G202" s="551"/>
    </row>
    <row r="203" spans="1:16135" customFormat="1" x14ac:dyDescent="0.25">
      <c r="A203" s="622"/>
      <c r="B203" s="605"/>
      <c r="C203" s="605"/>
      <c r="D203" s="605"/>
      <c r="E203" s="605"/>
      <c r="F203" s="551"/>
      <c r="G203" s="551"/>
      <c r="I203" s="47"/>
      <c r="BY203" s="605"/>
      <c r="BZ203" s="605"/>
      <c r="CA203" s="605"/>
      <c r="CB203" s="605"/>
      <c r="CC203" s="605"/>
      <c r="CD203" s="605"/>
      <c r="CE203" s="605"/>
      <c r="CF203" s="605"/>
      <c r="CG203" s="605"/>
      <c r="CH203" s="605"/>
      <c r="CI203" s="605"/>
      <c r="CJ203" s="605"/>
      <c r="CK203" s="605"/>
      <c r="CL203" s="605"/>
      <c r="CM203" s="605"/>
      <c r="CN203" s="605"/>
      <c r="CO203" s="605"/>
      <c r="CP203" s="605"/>
      <c r="CQ203" s="605"/>
      <c r="CR203" s="605"/>
      <c r="CS203" s="605"/>
      <c r="CT203" s="605"/>
      <c r="CU203" s="605"/>
      <c r="CV203" s="605"/>
      <c r="CW203" s="605"/>
      <c r="CX203" s="605"/>
      <c r="CY203" s="605"/>
      <c r="CZ203" s="605"/>
      <c r="DA203" s="605"/>
      <c r="DB203" s="605"/>
      <c r="DC203" s="605"/>
      <c r="DD203" s="605"/>
      <c r="DE203" s="605"/>
      <c r="DF203" s="605"/>
      <c r="DG203" s="605"/>
      <c r="DH203" s="605"/>
      <c r="DI203" s="605"/>
      <c r="DJ203" s="605"/>
      <c r="DK203" s="605"/>
      <c r="DL203" s="605"/>
      <c r="DM203" s="605"/>
      <c r="DN203" s="605"/>
      <c r="DO203" s="605"/>
      <c r="DP203" s="605"/>
      <c r="DQ203" s="605"/>
      <c r="DR203" s="605"/>
      <c r="DS203" s="605"/>
      <c r="DT203" s="605"/>
      <c r="DU203" s="605"/>
      <c r="DV203" s="605"/>
      <c r="DW203" s="605"/>
      <c r="DX203" s="605"/>
      <c r="DY203" s="605"/>
      <c r="DZ203" s="605"/>
      <c r="EA203" s="605"/>
      <c r="EB203" s="605"/>
      <c r="EC203" s="605"/>
      <c r="ED203" s="605"/>
      <c r="EE203" s="605"/>
      <c r="EF203" s="605"/>
      <c r="EG203" s="605"/>
      <c r="EH203" s="605"/>
      <c r="EI203" s="605"/>
      <c r="EJ203" s="605"/>
      <c r="EK203" s="605"/>
      <c r="EL203" s="605"/>
      <c r="EM203" s="605"/>
      <c r="EN203" s="605"/>
      <c r="EO203" s="605"/>
      <c r="EP203" s="605"/>
      <c r="EQ203" s="605"/>
      <c r="ER203" s="605"/>
      <c r="ES203" s="605"/>
      <c r="ET203" s="605"/>
      <c r="EU203" s="605"/>
      <c r="EV203" s="605"/>
      <c r="EW203" s="605"/>
      <c r="EX203" s="605"/>
      <c r="EY203" s="605"/>
      <c r="EZ203" s="605"/>
      <c r="FA203" s="605"/>
      <c r="FB203" s="605"/>
      <c r="FC203" s="605"/>
      <c r="FD203" s="605"/>
      <c r="FE203" s="605"/>
      <c r="FF203" s="605"/>
      <c r="FG203" s="605"/>
      <c r="FH203" s="605"/>
      <c r="FI203" s="605"/>
      <c r="FJ203" s="605"/>
      <c r="FK203" s="605"/>
      <c r="FL203" s="605"/>
      <c r="FM203" s="605"/>
      <c r="FN203" s="605"/>
      <c r="FO203" s="605"/>
      <c r="FP203" s="605"/>
      <c r="FQ203" s="605"/>
      <c r="FR203" s="605"/>
      <c r="FS203" s="605"/>
      <c r="FT203" s="605"/>
      <c r="FU203" s="605"/>
      <c r="FV203" s="605"/>
      <c r="FW203" s="605"/>
      <c r="FX203" s="605"/>
      <c r="FY203" s="605"/>
      <c r="FZ203" s="605"/>
      <c r="GA203" s="605"/>
      <c r="GB203" s="605"/>
      <c r="GC203" s="605"/>
      <c r="GD203" s="605"/>
      <c r="GE203" s="605"/>
      <c r="GF203" s="605"/>
      <c r="GG203" s="605"/>
      <c r="GH203" s="605"/>
      <c r="GI203" s="605"/>
      <c r="GJ203" s="605"/>
      <c r="GK203" s="605"/>
      <c r="GL203" s="605"/>
      <c r="GM203" s="605"/>
      <c r="GN203" s="605"/>
      <c r="GO203" s="605"/>
      <c r="GP203" s="605"/>
      <c r="GQ203" s="605"/>
      <c r="GR203" s="605"/>
      <c r="GS203" s="605"/>
      <c r="GT203" s="605"/>
      <c r="GU203" s="605"/>
      <c r="GV203" s="605"/>
      <c r="GW203" s="605"/>
      <c r="GX203" s="605"/>
      <c r="GY203" s="605"/>
      <c r="GZ203" s="605"/>
      <c r="HA203" s="605"/>
      <c r="HB203" s="605"/>
      <c r="HC203" s="605"/>
      <c r="HD203" s="605"/>
      <c r="HE203" s="605"/>
      <c r="HF203" s="605"/>
      <c r="HG203" s="605"/>
      <c r="HH203" s="605"/>
      <c r="HI203" s="605"/>
      <c r="HJ203" s="605"/>
      <c r="HK203" s="605"/>
      <c r="HL203" s="605"/>
      <c r="HM203" s="605"/>
      <c r="HN203" s="605"/>
      <c r="HO203" s="605"/>
      <c r="HP203" s="605"/>
      <c r="HQ203" s="605"/>
      <c r="HR203" s="605"/>
      <c r="HS203" s="605"/>
      <c r="HT203" s="605"/>
      <c r="HU203" s="605"/>
      <c r="HV203" s="605"/>
      <c r="HW203" s="605"/>
      <c r="HX203" s="605"/>
      <c r="HY203" s="605"/>
      <c r="HZ203" s="605"/>
      <c r="IA203" s="605"/>
      <c r="IB203" s="605"/>
      <c r="IC203" s="605"/>
      <c r="ID203" s="605"/>
      <c r="IE203" s="605"/>
      <c r="IF203" s="605"/>
      <c r="IG203" s="605"/>
      <c r="IH203" s="605"/>
      <c r="II203" s="605"/>
      <c r="IJ203" s="605"/>
      <c r="IK203" s="605"/>
      <c r="IL203" s="605"/>
      <c r="IM203" s="605"/>
      <c r="IN203" s="605"/>
      <c r="IO203" s="605"/>
      <c r="IP203" s="605"/>
      <c r="IQ203" s="605"/>
      <c r="IR203" s="605"/>
      <c r="IS203" s="605"/>
      <c r="IT203" s="605"/>
      <c r="IU203" s="605"/>
      <c r="IV203" s="605"/>
      <c r="IW203" s="605"/>
      <c r="IX203" s="605"/>
      <c r="IY203" s="605"/>
      <c r="IZ203" s="605"/>
      <c r="JA203" s="605"/>
      <c r="JB203" s="605"/>
      <c r="JC203" s="605"/>
      <c r="JD203" s="605"/>
      <c r="JE203" s="605"/>
      <c r="JF203" s="605"/>
      <c r="JG203" s="605"/>
      <c r="JH203" s="605"/>
      <c r="JI203" s="605"/>
      <c r="JJ203" s="605"/>
      <c r="JK203" s="605"/>
      <c r="JL203" s="605"/>
      <c r="JM203" s="605"/>
      <c r="JN203" s="605"/>
      <c r="JO203" s="605"/>
      <c r="JP203" s="605"/>
      <c r="JQ203" s="605"/>
      <c r="JR203" s="605"/>
      <c r="JS203" s="605"/>
      <c r="JT203" s="605"/>
      <c r="JU203" s="605"/>
      <c r="JV203" s="605"/>
      <c r="JW203" s="605"/>
      <c r="JX203" s="605"/>
      <c r="JY203" s="605"/>
      <c r="JZ203" s="605"/>
      <c r="KA203" s="605"/>
      <c r="KB203" s="605"/>
      <c r="KC203" s="605"/>
      <c r="KD203" s="605"/>
      <c r="KE203" s="605"/>
      <c r="KF203" s="605"/>
      <c r="KG203" s="605"/>
      <c r="KH203" s="605"/>
      <c r="KI203" s="605"/>
      <c r="KJ203" s="605"/>
      <c r="KK203" s="605"/>
      <c r="KL203" s="605"/>
      <c r="KM203" s="605"/>
      <c r="KN203" s="605"/>
      <c r="KO203" s="605"/>
      <c r="KP203" s="605"/>
      <c r="KQ203" s="605"/>
      <c r="KR203" s="605"/>
      <c r="KS203" s="605"/>
      <c r="KT203" s="605"/>
      <c r="KU203" s="605"/>
      <c r="KV203" s="605"/>
      <c r="KW203" s="605"/>
      <c r="KX203" s="605"/>
      <c r="KY203" s="605"/>
      <c r="KZ203" s="605"/>
      <c r="LA203" s="605"/>
      <c r="LB203" s="605"/>
      <c r="LC203" s="605"/>
      <c r="LD203" s="605"/>
      <c r="LE203" s="605"/>
      <c r="LF203" s="605"/>
      <c r="LG203" s="605"/>
      <c r="LH203" s="605"/>
      <c r="LI203" s="605"/>
      <c r="LJ203" s="605"/>
      <c r="LK203" s="605"/>
      <c r="LL203" s="605"/>
      <c r="LM203" s="605"/>
      <c r="LN203" s="605"/>
      <c r="LO203" s="605"/>
      <c r="LP203" s="605"/>
      <c r="LQ203" s="605"/>
      <c r="LR203" s="605"/>
      <c r="LS203" s="605"/>
      <c r="LT203" s="605"/>
      <c r="LU203" s="605"/>
      <c r="LV203" s="605"/>
      <c r="LW203" s="605"/>
      <c r="LX203" s="605"/>
      <c r="LY203" s="605"/>
      <c r="LZ203" s="605"/>
      <c r="MA203" s="605"/>
      <c r="MB203" s="605"/>
      <c r="MC203" s="605"/>
      <c r="MD203" s="605"/>
      <c r="ME203" s="605"/>
      <c r="MF203" s="605"/>
      <c r="MG203" s="605"/>
      <c r="MH203" s="605"/>
      <c r="MI203" s="605"/>
      <c r="MJ203" s="605"/>
      <c r="MK203" s="605"/>
      <c r="ML203" s="605"/>
      <c r="MM203" s="605"/>
      <c r="MN203" s="605"/>
      <c r="MO203" s="605"/>
      <c r="MP203" s="605"/>
      <c r="MQ203" s="605"/>
      <c r="MR203" s="605"/>
      <c r="MS203" s="605"/>
      <c r="MT203" s="605"/>
      <c r="MU203" s="605"/>
      <c r="MV203" s="605"/>
      <c r="MW203" s="605"/>
      <c r="MX203" s="605"/>
      <c r="MY203" s="605"/>
      <c r="MZ203" s="605"/>
      <c r="NA203" s="605"/>
      <c r="NB203" s="605"/>
      <c r="NC203" s="605"/>
      <c r="ND203" s="605"/>
      <c r="NE203" s="605"/>
      <c r="NF203" s="605"/>
      <c r="NG203" s="605"/>
      <c r="NH203" s="605"/>
      <c r="NI203" s="605"/>
      <c r="NJ203" s="605"/>
      <c r="NK203" s="605"/>
      <c r="NL203" s="605"/>
      <c r="NM203" s="605"/>
      <c r="NN203" s="605"/>
      <c r="NO203" s="605"/>
      <c r="NP203" s="605"/>
      <c r="NQ203" s="605"/>
      <c r="NR203" s="605"/>
      <c r="NS203" s="605"/>
      <c r="NT203" s="605"/>
      <c r="NU203" s="605"/>
      <c r="NV203" s="605"/>
      <c r="NW203" s="605"/>
      <c r="NX203" s="605"/>
      <c r="NY203" s="605"/>
      <c r="NZ203" s="605"/>
      <c r="OA203" s="605"/>
      <c r="OB203" s="605"/>
      <c r="OC203" s="605"/>
      <c r="OD203" s="605"/>
      <c r="OE203" s="605"/>
      <c r="OF203" s="605"/>
      <c r="OG203" s="605"/>
      <c r="OH203" s="605"/>
      <c r="OI203" s="605"/>
      <c r="OJ203" s="605"/>
      <c r="OK203" s="605"/>
      <c r="OL203" s="605"/>
      <c r="OM203" s="605"/>
      <c r="ON203" s="605"/>
      <c r="OO203" s="605"/>
      <c r="OP203" s="605"/>
      <c r="OQ203" s="605"/>
      <c r="OR203" s="605"/>
      <c r="OS203" s="605"/>
      <c r="OT203" s="605"/>
      <c r="OU203" s="605"/>
      <c r="OV203" s="605"/>
      <c r="OW203" s="605"/>
      <c r="OX203" s="605"/>
      <c r="OY203" s="605"/>
      <c r="OZ203" s="605"/>
      <c r="PA203" s="605"/>
      <c r="PB203" s="605"/>
      <c r="PC203" s="605"/>
      <c r="PD203" s="605"/>
      <c r="PE203" s="605"/>
      <c r="PF203" s="605"/>
      <c r="PG203" s="605"/>
      <c r="PH203" s="605"/>
      <c r="PI203" s="605"/>
      <c r="PJ203" s="605"/>
      <c r="PK203" s="605"/>
      <c r="PL203" s="605"/>
      <c r="PM203" s="605"/>
      <c r="PN203" s="605"/>
      <c r="PO203" s="605"/>
      <c r="PP203" s="605"/>
      <c r="PQ203" s="605"/>
      <c r="PR203" s="605"/>
      <c r="PS203" s="605"/>
      <c r="PT203" s="605"/>
      <c r="PU203" s="605"/>
      <c r="PV203" s="605"/>
      <c r="PW203" s="605"/>
      <c r="PX203" s="605"/>
      <c r="PY203" s="605"/>
      <c r="PZ203" s="605"/>
      <c r="QA203" s="605"/>
      <c r="QB203" s="605"/>
      <c r="QC203" s="605"/>
      <c r="QD203" s="605"/>
      <c r="QE203" s="605"/>
      <c r="QF203" s="605"/>
      <c r="QG203" s="605"/>
      <c r="QH203" s="605"/>
      <c r="QI203" s="605"/>
      <c r="QJ203" s="605"/>
      <c r="QK203" s="605"/>
      <c r="QL203" s="605"/>
      <c r="QM203" s="605"/>
      <c r="QN203" s="605"/>
      <c r="QO203" s="605"/>
      <c r="QP203" s="605"/>
      <c r="QQ203" s="605"/>
      <c r="QR203" s="605"/>
      <c r="QS203" s="605"/>
      <c r="QT203" s="605"/>
      <c r="QU203" s="605"/>
      <c r="QV203" s="605"/>
      <c r="QW203" s="605"/>
      <c r="QX203" s="605"/>
      <c r="QY203" s="605"/>
      <c r="QZ203" s="605"/>
      <c r="RA203" s="605"/>
      <c r="RB203" s="605"/>
      <c r="RC203" s="605"/>
      <c r="RD203" s="605"/>
      <c r="RE203" s="605"/>
      <c r="RF203" s="605"/>
      <c r="RG203" s="605"/>
      <c r="RH203" s="605"/>
      <c r="RI203" s="605"/>
      <c r="RJ203" s="605"/>
      <c r="RK203" s="605"/>
      <c r="RL203" s="605"/>
      <c r="RM203" s="605"/>
      <c r="RN203" s="605"/>
      <c r="RO203" s="605"/>
      <c r="RP203" s="605"/>
      <c r="RQ203" s="605"/>
      <c r="RR203" s="605"/>
      <c r="RS203" s="605"/>
      <c r="RT203" s="605"/>
      <c r="RU203" s="605"/>
      <c r="RV203" s="605"/>
      <c r="RW203" s="605"/>
      <c r="RX203" s="605"/>
      <c r="RY203" s="605"/>
      <c r="RZ203" s="605"/>
      <c r="SA203" s="605"/>
      <c r="SB203" s="605"/>
      <c r="SC203" s="605"/>
      <c r="SD203" s="605"/>
      <c r="SE203" s="605"/>
      <c r="SF203" s="605"/>
      <c r="SG203" s="605"/>
      <c r="SH203" s="605"/>
      <c r="SI203" s="605"/>
      <c r="SJ203" s="605"/>
      <c r="SK203" s="605"/>
      <c r="SL203" s="605"/>
      <c r="SM203" s="605"/>
      <c r="SN203" s="605"/>
      <c r="SO203" s="605"/>
      <c r="SP203" s="605"/>
      <c r="SQ203" s="605"/>
      <c r="SR203" s="605"/>
      <c r="SS203" s="605"/>
      <c r="ST203" s="605"/>
      <c r="SU203" s="605"/>
      <c r="SV203" s="605"/>
      <c r="SW203" s="605"/>
      <c r="SX203" s="605"/>
      <c r="SY203" s="605"/>
      <c r="SZ203" s="605"/>
      <c r="TA203" s="605"/>
      <c r="TB203" s="605"/>
      <c r="TC203" s="605"/>
      <c r="TD203" s="605"/>
      <c r="TE203" s="605"/>
      <c r="TF203" s="605"/>
      <c r="TG203" s="605"/>
      <c r="TH203" s="605"/>
      <c r="TI203" s="605"/>
      <c r="TJ203" s="605"/>
      <c r="TK203" s="605"/>
      <c r="TL203" s="605"/>
      <c r="TM203" s="605"/>
      <c r="TN203" s="605"/>
      <c r="TO203" s="605"/>
      <c r="TP203" s="605"/>
      <c r="TQ203" s="605"/>
      <c r="TR203" s="605"/>
      <c r="TS203" s="605"/>
      <c r="TT203" s="605"/>
      <c r="TU203" s="605"/>
      <c r="TV203" s="605"/>
      <c r="TW203" s="605"/>
      <c r="TX203" s="605"/>
      <c r="TY203" s="605"/>
      <c r="TZ203" s="605"/>
      <c r="UA203" s="605"/>
      <c r="UB203" s="605"/>
      <c r="UC203" s="605"/>
      <c r="UD203" s="605"/>
      <c r="UE203" s="605"/>
      <c r="UF203" s="605"/>
      <c r="UG203" s="605"/>
      <c r="UH203" s="605"/>
      <c r="UI203" s="605"/>
      <c r="UJ203" s="605"/>
      <c r="UK203" s="605"/>
      <c r="UL203" s="605"/>
      <c r="UM203" s="605"/>
      <c r="UN203" s="605"/>
      <c r="UO203" s="605"/>
      <c r="UP203" s="605"/>
      <c r="UQ203" s="605"/>
      <c r="UR203" s="605"/>
      <c r="US203" s="605"/>
      <c r="UT203" s="605"/>
      <c r="UU203" s="605"/>
      <c r="UV203" s="605"/>
      <c r="UW203" s="605"/>
      <c r="UX203" s="605"/>
      <c r="UY203" s="605"/>
      <c r="UZ203" s="605"/>
      <c r="VA203" s="605"/>
      <c r="VB203" s="605"/>
      <c r="VC203" s="605"/>
      <c r="VD203" s="605"/>
      <c r="VE203" s="605"/>
      <c r="VF203" s="605"/>
      <c r="VG203" s="605"/>
      <c r="VH203" s="605"/>
      <c r="VI203" s="605"/>
      <c r="VJ203" s="605"/>
      <c r="VK203" s="605"/>
      <c r="VL203" s="605"/>
      <c r="VM203" s="605"/>
      <c r="VN203" s="605"/>
      <c r="VO203" s="605"/>
      <c r="VP203" s="605"/>
      <c r="VQ203" s="605"/>
      <c r="VR203" s="605"/>
      <c r="VS203" s="605"/>
      <c r="VT203" s="605"/>
      <c r="VU203" s="605"/>
      <c r="VV203" s="605"/>
      <c r="VW203" s="605"/>
      <c r="VX203" s="605"/>
      <c r="VY203" s="605"/>
      <c r="VZ203" s="605"/>
      <c r="WA203" s="605"/>
      <c r="WB203" s="605"/>
      <c r="WC203" s="605"/>
      <c r="WD203" s="605"/>
      <c r="WE203" s="605"/>
      <c r="WF203" s="605"/>
      <c r="WG203" s="605"/>
      <c r="WH203" s="605"/>
      <c r="WI203" s="605"/>
      <c r="WJ203" s="605"/>
      <c r="WK203" s="605"/>
      <c r="WL203" s="605"/>
      <c r="WM203" s="605"/>
      <c r="WN203" s="605"/>
      <c r="WO203" s="605"/>
      <c r="WP203" s="605"/>
      <c r="WQ203" s="605"/>
      <c r="WR203" s="605"/>
      <c r="WS203" s="605"/>
      <c r="WT203" s="605"/>
      <c r="WU203" s="605"/>
      <c r="WV203" s="605"/>
      <c r="WW203" s="605"/>
      <c r="WX203" s="605"/>
      <c r="WY203" s="605"/>
      <c r="WZ203" s="605"/>
      <c r="XA203" s="605"/>
      <c r="XB203" s="605"/>
      <c r="XC203" s="605"/>
      <c r="XD203" s="605"/>
      <c r="XE203" s="605"/>
      <c r="XF203" s="605"/>
      <c r="XG203" s="605"/>
      <c r="XH203" s="605"/>
      <c r="XI203" s="605"/>
      <c r="XJ203" s="605"/>
      <c r="XK203" s="605"/>
      <c r="XL203" s="605"/>
      <c r="XM203" s="605"/>
      <c r="XN203" s="605"/>
      <c r="XO203" s="605"/>
      <c r="XP203" s="605"/>
      <c r="XQ203" s="605"/>
      <c r="XR203" s="605"/>
      <c r="XS203" s="605"/>
      <c r="XT203" s="605"/>
      <c r="XU203" s="605"/>
      <c r="XV203" s="605"/>
      <c r="XW203" s="605"/>
      <c r="XX203" s="605"/>
      <c r="XY203" s="605"/>
      <c r="XZ203" s="605"/>
      <c r="YA203" s="605"/>
      <c r="YB203" s="605"/>
      <c r="YC203" s="605"/>
      <c r="YD203" s="605"/>
      <c r="YE203" s="605"/>
      <c r="YF203" s="605"/>
      <c r="YG203" s="605"/>
      <c r="YH203" s="605"/>
      <c r="YI203" s="605"/>
      <c r="YJ203" s="605"/>
      <c r="YK203" s="605"/>
      <c r="YL203" s="605"/>
      <c r="YM203" s="605"/>
      <c r="YN203" s="605"/>
      <c r="YO203" s="605"/>
      <c r="YP203" s="605"/>
      <c r="YQ203" s="605"/>
      <c r="YR203" s="605"/>
      <c r="YS203" s="605"/>
      <c r="YT203" s="605"/>
      <c r="YU203" s="605"/>
      <c r="YV203" s="605"/>
      <c r="YW203" s="605"/>
      <c r="YX203" s="605"/>
      <c r="YY203" s="605"/>
      <c r="YZ203" s="605"/>
      <c r="ZA203" s="605"/>
      <c r="ZB203" s="605"/>
      <c r="ZC203" s="605"/>
      <c r="ZD203" s="605"/>
      <c r="ZE203" s="605"/>
      <c r="ZF203" s="605"/>
      <c r="ZG203" s="605"/>
      <c r="ZH203" s="605"/>
      <c r="ZI203" s="605"/>
      <c r="ZJ203" s="605"/>
      <c r="ZK203" s="605"/>
      <c r="ZL203" s="605"/>
      <c r="ZM203" s="605"/>
      <c r="ZN203" s="605"/>
      <c r="ZO203" s="605"/>
      <c r="ZP203" s="605"/>
      <c r="ZQ203" s="605"/>
      <c r="ZR203" s="605"/>
      <c r="ZS203" s="605"/>
      <c r="ZT203" s="605"/>
      <c r="ZU203" s="605"/>
      <c r="ZV203" s="605"/>
      <c r="ZW203" s="605"/>
      <c r="ZX203" s="605"/>
      <c r="ZY203" s="605"/>
      <c r="ZZ203" s="605"/>
      <c r="AAA203" s="605"/>
      <c r="AAB203" s="605"/>
      <c r="AAC203" s="605"/>
      <c r="AAD203" s="605"/>
      <c r="AAE203" s="605"/>
      <c r="AAF203" s="605"/>
      <c r="AAG203" s="605"/>
      <c r="AAH203" s="605"/>
      <c r="AAI203" s="605"/>
      <c r="AAJ203" s="605"/>
      <c r="AAK203" s="605"/>
      <c r="AAL203" s="605"/>
      <c r="AAM203" s="605"/>
      <c r="AAN203" s="605"/>
      <c r="AAO203" s="605"/>
      <c r="AAP203" s="605"/>
      <c r="AAQ203" s="605"/>
      <c r="AAR203" s="605"/>
      <c r="AAS203" s="605"/>
      <c r="AAT203" s="605"/>
      <c r="AAU203" s="605"/>
      <c r="AAV203" s="605"/>
      <c r="AAW203" s="605"/>
      <c r="AAX203" s="605"/>
      <c r="AAY203" s="605"/>
      <c r="AAZ203" s="605"/>
      <c r="ABA203" s="605"/>
      <c r="ABB203" s="605"/>
      <c r="ABC203" s="605"/>
      <c r="ABD203" s="605"/>
      <c r="ABE203" s="605"/>
      <c r="ABF203" s="605"/>
      <c r="ABG203" s="605"/>
      <c r="ABH203" s="605"/>
      <c r="ABI203" s="605"/>
      <c r="ABJ203" s="605"/>
      <c r="ABK203" s="605"/>
      <c r="ABL203" s="605"/>
      <c r="ABM203" s="605"/>
      <c r="ABN203" s="605"/>
      <c r="ABO203" s="605"/>
      <c r="ABP203" s="605"/>
      <c r="ABQ203" s="605"/>
      <c r="ABR203" s="605"/>
      <c r="ABS203" s="605"/>
      <c r="ABT203" s="605"/>
      <c r="ABU203" s="605"/>
      <c r="ABV203" s="605"/>
      <c r="ABW203" s="605"/>
      <c r="ABX203" s="605"/>
      <c r="ABY203" s="605"/>
      <c r="ABZ203" s="605"/>
      <c r="ACA203" s="605"/>
      <c r="ACB203" s="605"/>
      <c r="ACC203" s="605"/>
      <c r="ACD203" s="605"/>
      <c r="ACE203" s="605"/>
      <c r="ACF203" s="605"/>
      <c r="ACG203" s="605"/>
      <c r="ACH203" s="605"/>
      <c r="ACI203" s="605"/>
      <c r="ACJ203" s="605"/>
      <c r="ACK203" s="605"/>
      <c r="ACL203" s="605"/>
      <c r="ACM203" s="605"/>
      <c r="ACN203" s="605"/>
      <c r="ACO203" s="605"/>
      <c r="ACP203" s="605"/>
      <c r="ACQ203" s="605"/>
      <c r="ACR203" s="605"/>
      <c r="ACS203" s="605"/>
      <c r="ACT203" s="605"/>
      <c r="ACU203" s="605"/>
      <c r="ACV203" s="605"/>
      <c r="ACW203" s="605"/>
      <c r="ACX203" s="605"/>
      <c r="ACY203" s="605"/>
      <c r="ACZ203" s="605"/>
      <c r="ADA203" s="605"/>
      <c r="ADB203" s="605"/>
      <c r="ADC203" s="605"/>
      <c r="ADD203" s="605"/>
      <c r="ADE203" s="605"/>
      <c r="ADF203" s="605"/>
      <c r="ADG203" s="605"/>
      <c r="ADH203" s="605"/>
      <c r="ADI203" s="605"/>
      <c r="ADJ203" s="605"/>
      <c r="ADK203" s="605"/>
      <c r="ADL203" s="605"/>
      <c r="ADM203" s="605"/>
      <c r="ADN203" s="605"/>
      <c r="ADO203" s="605"/>
      <c r="ADP203" s="605"/>
      <c r="ADQ203" s="605"/>
      <c r="ADR203" s="605"/>
      <c r="ADS203" s="605"/>
      <c r="ADT203" s="605"/>
      <c r="ADU203" s="605"/>
      <c r="ADV203" s="605"/>
      <c r="ADW203" s="605"/>
      <c r="ADX203" s="605"/>
      <c r="ADY203" s="605"/>
      <c r="ADZ203" s="605"/>
      <c r="AEA203" s="605"/>
      <c r="AEB203" s="605"/>
      <c r="AEC203" s="605"/>
      <c r="AED203" s="605"/>
      <c r="AEE203" s="605"/>
      <c r="AEF203" s="605"/>
      <c r="AEG203" s="605"/>
      <c r="AEH203" s="605"/>
      <c r="AEI203" s="605"/>
      <c r="AEJ203" s="605"/>
      <c r="AEK203" s="605"/>
      <c r="AEL203" s="605"/>
      <c r="AEM203" s="605"/>
      <c r="AEN203" s="605"/>
      <c r="AEO203" s="605"/>
      <c r="AEP203" s="605"/>
      <c r="AEQ203" s="605"/>
      <c r="AER203" s="605"/>
      <c r="AES203" s="605"/>
      <c r="AET203" s="605"/>
      <c r="AEU203" s="605"/>
      <c r="AEV203" s="605"/>
      <c r="AEW203" s="605"/>
      <c r="AEX203" s="605"/>
      <c r="AEY203" s="605"/>
      <c r="AEZ203" s="605"/>
      <c r="AFA203" s="605"/>
      <c r="AFB203" s="605"/>
      <c r="AFC203" s="605"/>
      <c r="AFD203" s="605"/>
      <c r="AFE203" s="605"/>
      <c r="AFF203" s="605"/>
      <c r="AFG203" s="605"/>
      <c r="AFH203" s="605"/>
      <c r="AFI203" s="605"/>
      <c r="AFJ203" s="605"/>
      <c r="AFK203" s="605"/>
      <c r="AFL203" s="605"/>
      <c r="AFM203" s="605"/>
      <c r="AFN203" s="605"/>
      <c r="AFO203" s="605"/>
      <c r="AFP203" s="605"/>
      <c r="AFQ203" s="605"/>
      <c r="AFR203" s="605"/>
      <c r="AFS203" s="605"/>
      <c r="AFT203" s="605"/>
      <c r="AFU203" s="605"/>
      <c r="AFV203" s="605"/>
      <c r="AFW203" s="605"/>
      <c r="AFX203" s="605"/>
      <c r="AFY203" s="605"/>
      <c r="AFZ203" s="605"/>
      <c r="AGA203" s="605"/>
      <c r="AGB203" s="605"/>
      <c r="AGC203" s="605"/>
      <c r="AGD203" s="605"/>
      <c r="AGE203" s="605"/>
      <c r="AGF203" s="605"/>
      <c r="AGG203" s="605"/>
      <c r="AGH203" s="605"/>
      <c r="AGI203" s="605"/>
      <c r="AGJ203" s="605"/>
      <c r="AGK203" s="605"/>
      <c r="AGL203" s="605"/>
      <c r="AGM203" s="605"/>
      <c r="AGN203" s="605"/>
      <c r="AGO203" s="605"/>
      <c r="AGP203" s="605"/>
      <c r="AGQ203" s="605"/>
      <c r="AGR203" s="605"/>
      <c r="AGS203" s="605"/>
      <c r="AGT203" s="605"/>
      <c r="AGU203" s="605"/>
      <c r="AGV203" s="605"/>
      <c r="AGW203" s="605"/>
      <c r="AGX203" s="605"/>
      <c r="AGY203" s="605"/>
      <c r="AGZ203" s="605"/>
      <c r="AHA203" s="605"/>
      <c r="AHB203" s="605"/>
      <c r="AHC203" s="605"/>
      <c r="AHD203" s="605"/>
      <c r="AHE203" s="605"/>
      <c r="AHF203" s="605"/>
      <c r="AHG203" s="605"/>
      <c r="AHH203" s="605"/>
      <c r="AHI203" s="605"/>
      <c r="AHJ203" s="605"/>
      <c r="AHK203" s="605"/>
      <c r="AHL203" s="605"/>
      <c r="AHM203" s="605"/>
      <c r="AHN203" s="605"/>
      <c r="AHO203" s="605"/>
      <c r="AHP203" s="605"/>
      <c r="AHQ203" s="605"/>
      <c r="AHR203" s="605"/>
      <c r="AHS203" s="605"/>
      <c r="AHT203" s="605"/>
      <c r="AHU203" s="605"/>
      <c r="AHV203" s="605"/>
      <c r="AHW203" s="605"/>
      <c r="AHX203" s="605"/>
      <c r="AHY203" s="605"/>
      <c r="AHZ203" s="605"/>
      <c r="AIA203" s="605"/>
      <c r="AIB203" s="605"/>
      <c r="AIC203" s="605"/>
      <c r="AID203" s="605"/>
      <c r="AIE203" s="605"/>
      <c r="AIF203" s="605"/>
      <c r="AIG203" s="605"/>
      <c r="AIH203" s="605"/>
      <c r="AII203" s="605"/>
      <c r="AIJ203" s="605"/>
      <c r="AIK203" s="605"/>
      <c r="AIL203" s="605"/>
      <c r="AIM203" s="605"/>
      <c r="AIN203" s="605"/>
      <c r="AIO203" s="605"/>
      <c r="AIP203" s="605"/>
      <c r="AIQ203" s="605"/>
      <c r="AIR203" s="605"/>
      <c r="AIS203" s="605"/>
      <c r="AIT203" s="605"/>
      <c r="AIU203" s="605"/>
      <c r="AIV203" s="605"/>
      <c r="AIW203" s="605"/>
      <c r="AIX203" s="605"/>
      <c r="AIY203" s="605"/>
      <c r="AIZ203" s="605"/>
      <c r="AJA203" s="605"/>
      <c r="AJB203" s="605"/>
      <c r="AJC203" s="605"/>
      <c r="AJD203" s="605"/>
      <c r="AJE203" s="605"/>
      <c r="AJF203" s="605"/>
      <c r="AJG203" s="605"/>
      <c r="AJH203" s="605"/>
      <c r="AJI203" s="605"/>
      <c r="AJJ203" s="605"/>
      <c r="AJK203" s="605"/>
      <c r="AJL203" s="605"/>
      <c r="AJM203" s="605"/>
      <c r="AJN203" s="605"/>
      <c r="AJO203" s="605"/>
      <c r="AJP203" s="605"/>
      <c r="AJQ203" s="605"/>
      <c r="AJR203" s="605"/>
      <c r="AJS203" s="605"/>
      <c r="AJT203" s="605"/>
      <c r="AJU203" s="605"/>
      <c r="AJV203" s="605"/>
      <c r="AJW203" s="605"/>
      <c r="AJX203" s="605"/>
      <c r="AJY203" s="605"/>
      <c r="AJZ203" s="605"/>
      <c r="AKA203" s="605"/>
      <c r="AKB203" s="605"/>
      <c r="AKC203" s="605"/>
      <c r="AKD203" s="605"/>
      <c r="AKE203" s="605"/>
      <c r="AKF203" s="605"/>
      <c r="AKG203" s="605"/>
      <c r="AKH203" s="605"/>
      <c r="AKI203" s="605"/>
      <c r="AKJ203" s="605"/>
      <c r="AKK203" s="605"/>
      <c r="AKL203" s="605"/>
      <c r="AKM203" s="605"/>
      <c r="AKN203" s="605"/>
      <c r="AKO203" s="605"/>
      <c r="AKP203" s="605"/>
      <c r="AKQ203" s="605"/>
      <c r="AKR203" s="605"/>
      <c r="AKS203" s="605"/>
      <c r="AKT203" s="605"/>
      <c r="AKU203" s="605"/>
      <c r="AKV203" s="605"/>
      <c r="AKW203" s="605"/>
      <c r="AKX203" s="605"/>
      <c r="AKY203" s="605"/>
      <c r="AKZ203" s="605"/>
      <c r="ALA203" s="605"/>
      <c r="ALB203" s="605"/>
      <c r="ALC203" s="605"/>
      <c r="ALD203" s="605"/>
      <c r="ALE203" s="605"/>
      <c r="ALF203" s="605"/>
      <c r="ALG203" s="605"/>
      <c r="ALH203" s="605"/>
      <c r="ALI203" s="605"/>
      <c r="ALJ203" s="605"/>
      <c r="ALK203" s="605"/>
      <c r="ALL203" s="605"/>
      <c r="ALM203" s="605"/>
      <c r="ALN203" s="605"/>
      <c r="ALO203" s="605"/>
      <c r="ALP203" s="605"/>
      <c r="ALQ203" s="605"/>
      <c r="ALR203" s="605"/>
      <c r="ALS203" s="605"/>
      <c r="ALT203" s="605"/>
      <c r="ALU203" s="605"/>
      <c r="ALV203" s="605"/>
      <c r="ALW203" s="605"/>
      <c r="ALX203" s="605"/>
      <c r="ALY203" s="605"/>
      <c r="ALZ203" s="605"/>
      <c r="AMA203" s="605"/>
      <c r="AMB203" s="605"/>
      <c r="AMC203" s="605"/>
      <c r="AMD203" s="605"/>
      <c r="AME203" s="605"/>
      <c r="AMF203" s="605"/>
      <c r="AMG203" s="605"/>
      <c r="AMH203" s="605"/>
      <c r="AMI203" s="605"/>
      <c r="AMJ203" s="605"/>
      <c r="AMK203" s="605"/>
      <c r="AML203" s="605"/>
      <c r="AMM203" s="605"/>
      <c r="AMN203" s="605"/>
      <c r="AMO203" s="605"/>
      <c r="AMP203" s="605"/>
      <c r="AMQ203" s="605"/>
      <c r="AMR203" s="605"/>
      <c r="AMS203" s="605"/>
      <c r="AMT203" s="605"/>
      <c r="AMU203" s="605"/>
      <c r="AMV203" s="605"/>
      <c r="AMW203" s="605"/>
      <c r="AMX203" s="605"/>
      <c r="AMY203" s="605"/>
      <c r="AMZ203" s="605"/>
      <c r="ANA203" s="605"/>
      <c r="ANB203" s="605"/>
      <c r="ANC203" s="605"/>
      <c r="AND203" s="605"/>
      <c r="ANE203" s="605"/>
      <c r="ANF203" s="605"/>
      <c r="ANG203" s="605"/>
      <c r="ANH203" s="605"/>
      <c r="ANI203" s="605"/>
      <c r="ANJ203" s="605"/>
      <c r="ANK203" s="605"/>
      <c r="ANL203" s="605"/>
      <c r="ANM203" s="605"/>
      <c r="ANN203" s="605"/>
      <c r="ANO203" s="605"/>
      <c r="ANP203" s="605"/>
      <c r="ANQ203" s="605"/>
      <c r="ANR203" s="605"/>
      <c r="ANS203" s="605"/>
      <c r="ANT203" s="605"/>
      <c r="ANU203" s="605"/>
      <c r="ANV203" s="605"/>
      <c r="ANW203" s="605"/>
      <c r="ANX203" s="605"/>
      <c r="ANY203" s="605"/>
      <c r="ANZ203" s="605"/>
      <c r="AOA203" s="605"/>
      <c r="AOB203" s="605"/>
      <c r="AOC203" s="605"/>
      <c r="AOD203" s="605"/>
      <c r="AOE203" s="605"/>
      <c r="AOF203" s="605"/>
      <c r="AOG203" s="605"/>
      <c r="AOH203" s="605"/>
      <c r="AOI203" s="605"/>
      <c r="AOJ203" s="605"/>
      <c r="AOK203" s="605"/>
      <c r="AOL203" s="605"/>
      <c r="AOM203" s="605"/>
      <c r="AON203" s="605"/>
      <c r="AOO203" s="605"/>
      <c r="AOP203" s="605"/>
      <c r="AOQ203" s="605"/>
      <c r="AOR203" s="605"/>
      <c r="AOS203" s="605"/>
      <c r="AOT203" s="605"/>
      <c r="AOU203" s="605"/>
      <c r="AOV203" s="605"/>
      <c r="AOW203" s="605"/>
      <c r="AOX203" s="605"/>
      <c r="AOY203" s="605"/>
      <c r="AOZ203" s="605"/>
      <c r="APA203" s="605"/>
      <c r="APB203" s="605"/>
      <c r="APC203" s="605"/>
      <c r="APD203" s="605"/>
      <c r="APE203" s="605"/>
      <c r="APF203" s="605"/>
      <c r="APG203" s="605"/>
      <c r="APH203" s="605"/>
      <c r="API203" s="605"/>
      <c r="APJ203" s="605"/>
      <c r="APK203" s="605"/>
      <c r="APL203" s="605"/>
      <c r="APM203" s="605"/>
      <c r="APN203" s="605"/>
      <c r="APO203" s="605"/>
      <c r="APP203" s="605"/>
      <c r="APQ203" s="605"/>
      <c r="APR203" s="605"/>
      <c r="APS203" s="605"/>
      <c r="APT203" s="605"/>
      <c r="APU203" s="605"/>
      <c r="APV203" s="605"/>
      <c r="APW203" s="605"/>
      <c r="APX203" s="605"/>
      <c r="APY203" s="605"/>
      <c r="APZ203" s="605"/>
      <c r="AQA203" s="605"/>
      <c r="AQB203" s="605"/>
      <c r="AQC203" s="605"/>
      <c r="AQD203" s="605"/>
      <c r="AQE203" s="605"/>
      <c r="AQF203" s="605"/>
      <c r="AQG203" s="605"/>
      <c r="AQH203" s="605"/>
      <c r="AQI203" s="605"/>
      <c r="AQJ203" s="605"/>
      <c r="AQK203" s="605"/>
      <c r="AQL203" s="605"/>
      <c r="AQM203" s="605"/>
      <c r="AQN203" s="605"/>
      <c r="AQO203" s="605"/>
      <c r="AQP203" s="605"/>
      <c r="AQQ203" s="605"/>
      <c r="AQR203" s="605"/>
      <c r="AQS203" s="605"/>
      <c r="AQT203" s="605"/>
      <c r="AQU203" s="605"/>
      <c r="AQV203" s="605"/>
      <c r="AQW203" s="605"/>
      <c r="AQX203" s="605"/>
      <c r="AQY203" s="605"/>
      <c r="AQZ203" s="605"/>
      <c r="ARA203" s="605"/>
      <c r="ARB203" s="605"/>
      <c r="ARC203" s="605"/>
      <c r="ARD203" s="605"/>
      <c r="ARE203" s="605"/>
      <c r="ARF203" s="605"/>
      <c r="ARG203" s="605"/>
      <c r="ARH203" s="605"/>
      <c r="ARI203" s="605"/>
      <c r="ARJ203" s="605"/>
      <c r="ARK203" s="605"/>
      <c r="ARL203" s="605"/>
      <c r="ARM203" s="605"/>
      <c r="ARN203" s="605"/>
      <c r="ARO203" s="605"/>
      <c r="ARP203" s="605"/>
      <c r="ARQ203" s="605"/>
      <c r="ARR203" s="605"/>
      <c r="ARS203" s="605"/>
      <c r="ART203" s="605"/>
      <c r="ARU203" s="605"/>
      <c r="ARV203" s="605"/>
      <c r="ARW203" s="605"/>
      <c r="ARX203" s="605"/>
      <c r="ARY203" s="605"/>
      <c r="ARZ203" s="605"/>
      <c r="ASA203" s="605"/>
      <c r="ASB203" s="605"/>
      <c r="ASC203" s="605"/>
      <c r="ASD203" s="605"/>
      <c r="ASE203" s="605"/>
      <c r="ASF203" s="605"/>
      <c r="ASG203" s="605"/>
      <c r="ASH203" s="605"/>
      <c r="ASI203" s="605"/>
      <c r="ASJ203" s="605"/>
      <c r="ASK203" s="605"/>
      <c r="ASL203" s="605"/>
      <c r="ASM203" s="605"/>
      <c r="ASN203" s="605"/>
      <c r="ASO203" s="605"/>
      <c r="ASP203" s="605"/>
      <c r="ASQ203" s="605"/>
      <c r="ASR203" s="605"/>
      <c r="ASS203" s="605"/>
      <c r="AST203" s="605"/>
      <c r="ASU203" s="605"/>
      <c r="ASV203" s="605"/>
      <c r="ASW203" s="605"/>
      <c r="ASX203" s="605"/>
      <c r="ASY203" s="605"/>
      <c r="ASZ203" s="605"/>
      <c r="ATA203" s="605"/>
      <c r="ATB203" s="605"/>
      <c r="ATC203" s="605"/>
      <c r="ATD203" s="605"/>
      <c r="ATE203" s="605"/>
      <c r="ATF203" s="605"/>
      <c r="ATG203" s="605"/>
      <c r="ATH203" s="605"/>
      <c r="ATI203" s="605"/>
      <c r="ATJ203" s="605"/>
      <c r="ATK203" s="605"/>
      <c r="ATL203" s="605"/>
      <c r="ATM203" s="605"/>
      <c r="ATN203" s="605"/>
      <c r="ATO203" s="605"/>
      <c r="ATP203" s="605"/>
      <c r="ATQ203" s="605"/>
      <c r="ATR203" s="605"/>
      <c r="ATS203" s="605"/>
      <c r="ATT203" s="605"/>
      <c r="ATU203" s="605"/>
      <c r="ATV203" s="605"/>
      <c r="ATW203" s="605"/>
      <c r="ATX203" s="605"/>
      <c r="ATY203" s="605"/>
      <c r="ATZ203" s="605"/>
      <c r="AUA203" s="605"/>
      <c r="AUB203" s="605"/>
      <c r="AUC203" s="605"/>
      <c r="AUD203" s="605"/>
      <c r="AUE203" s="605"/>
      <c r="AUF203" s="605"/>
      <c r="AUG203" s="605"/>
      <c r="AUH203" s="605"/>
      <c r="AUI203" s="605"/>
      <c r="AUJ203" s="605"/>
      <c r="AUK203" s="605"/>
      <c r="AUL203" s="605"/>
      <c r="AUM203" s="605"/>
      <c r="AUN203" s="605"/>
      <c r="AUO203" s="605"/>
      <c r="AUP203" s="605"/>
      <c r="AUQ203" s="605"/>
      <c r="AUR203" s="605"/>
      <c r="AUS203" s="605"/>
      <c r="AUT203" s="605"/>
      <c r="AUU203" s="605"/>
      <c r="AUV203" s="605"/>
      <c r="AUW203" s="605"/>
      <c r="AUX203" s="605"/>
      <c r="AUY203" s="605"/>
      <c r="AUZ203" s="605"/>
      <c r="AVA203" s="605"/>
      <c r="AVB203" s="605"/>
      <c r="AVC203" s="605"/>
      <c r="AVD203" s="605"/>
      <c r="AVE203" s="605"/>
      <c r="AVF203" s="605"/>
      <c r="AVG203" s="605"/>
      <c r="AVH203" s="605"/>
      <c r="AVI203" s="605"/>
      <c r="AVJ203" s="605"/>
      <c r="AVK203" s="605"/>
      <c r="AVL203" s="605"/>
      <c r="AVM203" s="605"/>
      <c r="AVN203" s="605"/>
      <c r="AVO203" s="605"/>
      <c r="AVP203" s="605"/>
      <c r="AVQ203" s="605"/>
      <c r="AVR203" s="605"/>
      <c r="AVS203" s="605"/>
      <c r="AVT203" s="605"/>
      <c r="AVU203" s="605"/>
      <c r="AVV203" s="605"/>
      <c r="AVW203" s="605"/>
      <c r="AVX203" s="605"/>
      <c r="AVY203" s="605"/>
      <c r="AVZ203" s="605"/>
      <c r="AWA203" s="605"/>
      <c r="AWB203" s="605"/>
      <c r="AWC203" s="605"/>
      <c r="AWD203" s="605"/>
      <c r="AWE203" s="605"/>
      <c r="AWF203" s="605"/>
      <c r="AWG203" s="605"/>
      <c r="AWH203" s="605"/>
      <c r="AWI203" s="605"/>
      <c r="AWJ203" s="605"/>
      <c r="AWK203" s="605"/>
      <c r="AWL203" s="605"/>
      <c r="AWM203" s="605"/>
      <c r="AWN203" s="605"/>
      <c r="AWO203" s="605"/>
      <c r="AWP203" s="605"/>
      <c r="AWQ203" s="605"/>
      <c r="AWR203" s="605"/>
      <c r="AWS203" s="605"/>
      <c r="AWT203" s="605"/>
      <c r="AWU203" s="605"/>
      <c r="AWV203" s="605"/>
      <c r="AWW203" s="605"/>
      <c r="AWX203" s="605"/>
      <c r="AWY203" s="605"/>
      <c r="AWZ203" s="605"/>
      <c r="AXA203" s="605"/>
      <c r="AXB203" s="605"/>
      <c r="AXC203" s="605"/>
      <c r="AXD203" s="605"/>
      <c r="AXE203" s="605"/>
      <c r="AXF203" s="605"/>
      <c r="AXG203" s="605"/>
      <c r="AXH203" s="605"/>
      <c r="AXI203" s="605"/>
      <c r="AXJ203" s="605"/>
      <c r="AXK203" s="605"/>
      <c r="AXL203" s="605"/>
      <c r="AXM203" s="605"/>
      <c r="AXN203" s="605"/>
      <c r="AXO203" s="605"/>
      <c r="AXP203" s="605"/>
      <c r="AXQ203" s="605"/>
      <c r="AXR203" s="605"/>
      <c r="AXS203" s="605"/>
      <c r="AXT203" s="605"/>
      <c r="AXU203" s="605"/>
      <c r="AXV203" s="605"/>
      <c r="AXW203" s="605"/>
      <c r="AXX203" s="605"/>
      <c r="AXY203" s="605"/>
      <c r="AXZ203" s="605"/>
      <c r="AYA203" s="605"/>
      <c r="AYB203" s="605"/>
      <c r="AYC203" s="605"/>
      <c r="AYD203" s="605"/>
      <c r="AYE203" s="605"/>
      <c r="AYF203" s="605"/>
      <c r="AYG203" s="605"/>
      <c r="AYH203" s="605"/>
      <c r="AYI203" s="605"/>
      <c r="AYJ203" s="605"/>
      <c r="AYK203" s="605"/>
      <c r="AYL203" s="605"/>
      <c r="AYM203" s="605"/>
      <c r="AYN203" s="605"/>
      <c r="AYO203" s="605"/>
      <c r="AYP203" s="605"/>
      <c r="AYQ203" s="605"/>
      <c r="AYR203" s="605"/>
      <c r="AYS203" s="605"/>
      <c r="AYT203" s="605"/>
      <c r="AYU203" s="605"/>
      <c r="AYV203" s="605"/>
      <c r="AYW203" s="605"/>
      <c r="AYX203" s="605"/>
      <c r="AYY203" s="605"/>
      <c r="AYZ203" s="605"/>
      <c r="AZA203" s="605"/>
      <c r="AZB203" s="605"/>
      <c r="AZC203" s="605"/>
      <c r="AZD203" s="605"/>
      <c r="AZE203" s="605"/>
      <c r="AZF203" s="605"/>
      <c r="AZG203" s="605"/>
      <c r="AZH203" s="605"/>
      <c r="AZI203" s="605"/>
      <c r="AZJ203" s="605"/>
      <c r="AZK203" s="605"/>
      <c r="AZL203" s="605"/>
      <c r="AZM203" s="605"/>
      <c r="AZN203" s="605"/>
      <c r="AZO203" s="605"/>
      <c r="AZP203" s="605"/>
      <c r="AZQ203" s="605"/>
      <c r="AZR203" s="605"/>
      <c r="AZS203" s="605"/>
      <c r="AZT203" s="605"/>
      <c r="AZU203" s="605"/>
      <c r="AZV203" s="605"/>
      <c r="AZW203" s="605"/>
      <c r="AZX203" s="605"/>
      <c r="AZY203" s="605"/>
      <c r="AZZ203" s="605"/>
      <c r="BAA203" s="605"/>
      <c r="BAB203" s="605"/>
      <c r="BAC203" s="605"/>
      <c r="BAD203" s="605"/>
      <c r="BAE203" s="605"/>
      <c r="BAF203" s="605"/>
      <c r="BAG203" s="605"/>
      <c r="BAH203" s="605"/>
      <c r="BAI203" s="605"/>
      <c r="BAJ203" s="605"/>
      <c r="BAK203" s="605"/>
      <c r="BAL203" s="605"/>
      <c r="BAM203" s="605"/>
      <c r="BAN203" s="605"/>
      <c r="BAO203" s="605"/>
      <c r="BAP203" s="605"/>
      <c r="BAQ203" s="605"/>
      <c r="BAR203" s="605"/>
      <c r="BAS203" s="605"/>
      <c r="BAT203" s="605"/>
      <c r="BAU203" s="605"/>
      <c r="BAV203" s="605"/>
      <c r="BAW203" s="605"/>
      <c r="BAX203" s="605"/>
      <c r="BAY203" s="605"/>
      <c r="BAZ203" s="605"/>
      <c r="BBA203" s="605"/>
      <c r="BBB203" s="605"/>
      <c r="BBC203" s="605"/>
      <c r="BBD203" s="605"/>
      <c r="BBE203" s="605"/>
      <c r="BBF203" s="605"/>
      <c r="BBG203" s="605"/>
      <c r="BBH203" s="605"/>
      <c r="BBI203" s="605"/>
      <c r="BBJ203" s="605"/>
      <c r="BBK203" s="605"/>
      <c r="BBL203" s="605"/>
      <c r="BBM203" s="605"/>
      <c r="BBN203" s="605"/>
      <c r="BBO203" s="605"/>
      <c r="BBP203" s="605"/>
      <c r="BBQ203" s="605"/>
      <c r="BBR203" s="605"/>
      <c r="BBS203" s="605"/>
      <c r="BBT203" s="605"/>
      <c r="BBU203" s="605"/>
      <c r="BBV203" s="605"/>
      <c r="BBW203" s="605"/>
      <c r="BBX203" s="605"/>
      <c r="BBY203" s="605"/>
      <c r="BBZ203" s="605"/>
      <c r="BCA203" s="605"/>
      <c r="BCB203" s="605"/>
      <c r="BCC203" s="605"/>
      <c r="BCD203" s="605"/>
      <c r="BCE203" s="605"/>
      <c r="BCF203" s="605"/>
      <c r="BCG203" s="605"/>
      <c r="BCH203" s="605"/>
      <c r="BCI203" s="605"/>
      <c r="BCJ203" s="605"/>
      <c r="BCK203" s="605"/>
      <c r="BCL203" s="605"/>
      <c r="BCM203" s="605"/>
      <c r="BCN203" s="605"/>
      <c r="BCO203" s="605"/>
      <c r="BCP203" s="605"/>
      <c r="BCQ203" s="605"/>
      <c r="BCR203" s="605"/>
      <c r="BCS203" s="605"/>
      <c r="BCT203" s="605"/>
      <c r="BCU203" s="605"/>
      <c r="BCV203" s="605"/>
      <c r="BCW203" s="605"/>
      <c r="BCX203" s="605"/>
      <c r="BCY203" s="605"/>
      <c r="BCZ203" s="605"/>
      <c r="BDA203" s="605"/>
      <c r="BDB203" s="605"/>
      <c r="BDC203" s="605"/>
      <c r="BDD203" s="605"/>
      <c r="BDE203" s="605"/>
      <c r="BDF203" s="605"/>
      <c r="BDG203" s="605"/>
      <c r="BDH203" s="605"/>
      <c r="BDI203" s="605"/>
      <c r="BDJ203" s="605"/>
      <c r="BDK203" s="605"/>
      <c r="BDL203" s="605"/>
      <c r="BDM203" s="605"/>
      <c r="BDN203" s="605"/>
      <c r="BDO203" s="605"/>
      <c r="BDP203" s="605"/>
      <c r="BDQ203" s="605"/>
      <c r="BDR203" s="605"/>
      <c r="BDS203" s="605"/>
      <c r="BDT203" s="605"/>
      <c r="BDU203" s="605"/>
      <c r="BDV203" s="605"/>
      <c r="BDW203" s="605"/>
      <c r="BDX203" s="605"/>
      <c r="BDY203" s="605"/>
      <c r="BDZ203" s="605"/>
      <c r="BEA203" s="605"/>
      <c r="BEB203" s="605"/>
      <c r="BEC203" s="605"/>
      <c r="BED203" s="605"/>
      <c r="BEE203" s="605"/>
      <c r="BEF203" s="605"/>
      <c r="BEG203" s="605"/>
      <c r="BEH203" s="605"/>
      <c r="BEI203" s="605"/>
      <c r="BEJ203" s="605"/>
      <c r="BEK203" s="605"/>
      <c r="BEL203" s="605"/>
      <c r="BEM203" s="605"/>
      <c r="BEN203" s="605"/>
      <c r="BEO203" s="605"/>
      <c r="BEP203" s="605"/>
      <c r="BEQ203" s="605"/>
      <c r="BER203" s="605"/>
      <c r="BES203" s="605"/>
      <c r="BET203" s="605"/>
      <c r="BEU203" s="605"/>
      <c r="BEV203" s="605"/>
      <c r="BEW203" s="605"/>
      <c r="BEX203" s="605"/>
      <c r="BEY203" s="605"/>
      <c r="BEZ203" s="605"/>
      <c r="BFA203" s="605"/>
      <c r="BFB203" s="605"/>
      <c r="BFC203" s="605"/>
      <c r="BFD203" s="605"/>
      <c r="BFE203" s="605"/>
      <c r="BFF203" s="605"/>
      <c r="BFG203" s="605"/>
      <c r="BFH203" s="605"/>
      <c r="BFI203" s="605"/>
      <c r="BFJ203" s="605"/>
      <c r="BFK203" s="605"/>
      <c r="BFL203" s="605"/>
      <c r="BFM203" s="605"/>
      <c r="BFN203" s="605"/>
      <c r="BFO203" s="605"/>
      <c r="BFP203" s="605"/>
      <c r="BFQ203" s="605"/>
      <c r="BFR203" s="605"/>
      <c r="BFS203" s="605"/>
      <c r="BFT203" s="605"/>
      <c r="BFU203" s="605"/>
      <c r="BFV203" s="605"/>
      <c r="BFW203" s="605"/>
      <c r="BFX203" s="605"/>
      <c r="BFY203" s="605"/>
      <c r="BFZ203" s="605"/>
      <c r="BGA203" s="605"/>
      <c r="BGB203" s="605"/>
      <c r="BGC203" s="605"/>
      <c r="BGD203" s="605"/>
      <c r="BGE203" s="605"/>
      <c r="BGF203" s="605"/>
      <c r="BGG203" s="605"/>
      <c r="BGH203" s="605"/>
      <c r="BGI203" s="605"/>
      <c r="BGJ203" s="605"/>
      <c r="BGK203" s="605"/>
      <c r="BGL203" s="605"/>
      <c r="BGM203" s="605"/>
      <c r="BGN203" s="605"/>
      <c r="BGO203" s="605"/>
      <c r="BGP203" s="605"/>
      <c r="BGQ203" s="605"/>
      <c r="BGR203" s="605"/>
      <c r="BGS203" s="605"/>
      <c r="BGT203" s="605"/>
      <c r="BGU203" s="605"/>
      <c r="BGV203" s="605"/>
      <c r="BGW203" s="605"/>
      <c r="BGX203" s="605"/>
      <c r="BGY203" s="605"/>
      <c r="BGZ203" s="605"/>
      <c r="BHA203" s="605"/>
      <c r="BHB203" s="605"/>
      <c r="BHC203" s="605"/>
      <c r="BHD203" s="605"/>
      <c r="BHE203" s="605"/>
      <c r="BHF203" s="605"/>
      <c r="BHG203" s="605"/>
      <c r="BHH203" s="605"/>
      <c r="BHI203" s="605"/>
      <c r="BHJ203" s="605"/>
      <c r="BHK203" s="605"/>
      <c r="BHL203" s="605"/>
      <c r="BHM203" s="605"/>
      <c r="BHN203" s="605"/>
      <c r="BHO203" s="605"/>
      <c r="BHP203" s="605"/>
      <c r="BHQ203" s="605"/>
      <c r="BHR203" s="605"/>
      <c r="BHS203" s="605"/>
      <c r="BHT203" s="605"/>
      <c r="BHU203" s="605"/>
      <c r="BHV203" s="605"/>
      <c r="BHW203" s="605"/>
      <c r="BHX203" s="605"/>
      <c r="BHY203" s="605"/>
      <c r="BHZ203" s="605"/>
      <c r="BIA203" s="605"/>
      <c r="BIB203" s="605"/>
      <c r="BIC203" s="605"/>
      <c r="BID203" s="605"/>
      <c r="BIE203" s="605"/>
      <c r="BIF203" s="605"/>
      <c r="BIG203" s="605"/>
      <c r="BIH203" s="605"/>
      <c r="BII203" s="605"/>
      <c r="BIJ203" s="605"/>
      <c r="BIK203" s="605"/>
      <c r="BIL203" s="605"/>
      <c r="BIM203" s="605"/>
      <c r="BIN203" s="605"/>
      <c r="BIO203" s="605"/>
      <c r="BIP203" s="605"/>
      <c r="BIQ203" s="605"/>
      <c r="BIR203" s="605"/>
      <c r="BIS203" s="605"/>
      <c r="BIT203" s="605"/>
      <c r="BIU203" s="605"/>
      <c r="BIV203" s="605"/>
      <c r="BIW203" s="605"/>
      <c r="BIX203" s="605"/>
      <c r="BIY203" s="605"/>
      <c r="BIZ203" s="605"/>
      <c r="BJA203" s="605"/>
      <c r="BJB203" s="605"/>
      <c r="BJC203" s="605"/>
      <c r="BJD203" s="605"/>
      <c r="BJE203" s="605"/>
      <c r="BJF203" s="605"/>
      <c r="BJG203" s="605"/>
      <c r="BJH203" s="605"/>
      <c r="BJI203" s="605"/>
      <c r="BJJ203" s="605"/>
      <c r="BJK203" s="605"/>
      <c r="BJL203" s="605"/>
      <c r="BJM203" s="605"/>
      <c r="BJN203" s="605"/>
      <c r="BJO203" s="605"/>
      <c r="BJP203" s="605"/>
      <c r="BJQ203" s="605"/>
      <c r="BJR203" s="605"/>
      <c r="BJS203" s="605"/>
      <c r="BJT203" s="605"/>
      <c r="BJU203" s="605"/>
      <c r="BJV203" s="605"/>
      <c r="BJW203" s="605"/>
      <c r="BJX203" s="605"/>
      <c r="BJY203" s="605"/>
      <c r="BJZ203" s="605"/>
      <c r="BKA203" s="605"/>
      <c r="BKB203" s="605"/>
      <c r="BKC203" s="605"/>
      <c r="BKD203" s="605"/>
      <c r="BKE203" s="605"/>
      <c r="BKF203" s="605"/>
      <c r="BKG203" s="605"/>
      <c r="BKH203" s="605"/>
      <c r="BKI203" s="605"/>
      <c r="BKJ203" s="605"/>
      <c r="BKK203" s="605"/>
      <c r="BKL203" s="605"/>
      <c r="BKM203" s="605"/>
      <c r="BKN203" s="605"/>
      <c r="BKO203" s="605"/>
      <c r="BKP203" s="605"/>
      <c r="BKQ203" s="605"/>
      <c r="BKR203" s="605"/>
      <c r="BKS203" s="605"/>
      <c r="BKT203" s="605"/>
      <c r="BKU203" s="605"/>
      <c r="BKV203" s="605"/>
      <c r="BKW203" s="605"/>
      <c r="BKX203" s="605"/>
      <c r="BKY203" s="605"/>
      <c r="BKZ203" s="605"/>
      <c r="BLA203" s="605"/>
      <c r="BLB203" s="605"/>
      <c r="BLC203" s="605"/>
      <c r="BLD203" s="605"/>
      <c r="BLE203" s="605"/>
      <c r="BLF203" s="605"/>
      <c r="BLG203" s="605"/>
      <c r="BLH203" s="605"/>
      <c r="BLI203" s="605"/>
      <c r="BLJ203" s="605"/>
      <c r="BLK203" s="605"/>
      <c r="BLL203" s="605"/>
      <c r="BLM203" s="605"/>
      <c r="BLN203" s="605"/>
      <c r="BLO203" s="605"/>
      <c r="BLP203" s="605"/>
      <c r="BLQ203" s="605"/>
      <c r="BLR203" s="605"/>
      <c r="BLS203" s="605"/>
      <c r="BLT203" s="605"/>
      <c r="BLU203" s="605"/>
      <c r="BLV203" s="605"/>
      <c r="BLW203" s="605"/>
      <c r="BLX203" s="605"/>
      <c r="BLY203" s="605"/>
      <c r="BLZ203" s="605"/>
      <c r="BMA203" s="605"/>
      <c r="BMB203" s="605"/>
      <c r="BMC203" s="605"/>
      <c r="BMD203" s="605"/>
      <c r="BME203" s="605"/>
      <c r="BMF203" s="605"/>
      <c r="BMG203" s="605"/>
      <c r="BMH203" s="605"/>
      <c r="BMI203" s="605"/>
      <c r="BMJ203" s="605"/>
      <c r="BMK203" s="605"/>
      <c r="BML203" s="605"/>
      <c r="BMM203" s="605"/>
      <c r="BMN203" s="605"/>
      <c r="BMO203" s="605"/>
      <c r="BMP203" s="605"/>
      <c r="BMQ203" s="605"/>
      <c r="BMR203" s="605"/>
      <c r="BMS203" s="605"/>
      <c r="BMT203" s="605"/>
      <c r="BMU203" s="605"/>
      <c r="BMV203" s="605"/>
      <c r="BMW203" s="605"/>
      <c r="BMX203" s="605"/>
      <c r="BMY203" s="605"/>
      <c r="BMZ203" s="605"/>
      <c r="BNA203" s="605"/>
      <c r="BNB203" s="605"/>
      <c r="BNC203" s="605"/>
      <c r="BND203" s="605"/>
      <c r="BNE203" s="605"/>
      <c r="BNF203" s="605"/>
      <c r="BNG203" s="605"/>
      <c r="BNH203" s="605"/>
      <c r="BNI203" s="605"/>
      <c r="BNJ203" s="605"/>
      <c r="BNK203" s="605"/>
      <c r="BNL203" s="605"/>
      <c r="BNM203" s="605"/>
      <c r="BNN203" s="605"/>
      <c r="BNO203" s="605"/>
      <c r="BNP203" s="605"/>
      <c r="BNQ203" s="605"/>
      <c r="BNR203" s="605"/>
      <c r="BNS203" s="605"/>
      <c r="BNT203" s="605"/>
      <c r="BNU203" s="605"/>
      <c r="BNV203" s="605"/>
      <c r="BNW203" s="605"/>
      <c r="BNX203" s="605"/>
      <c r="BNY203" s="605"/>
      <c r="BNZ203" s="605"/>
      <c r="BOA203" s="605"/>
      <c r="BOB203" s="605"/>
      <c r="BOC203" s="605"/>
      <c r="BOD203" s="605"/>
      <c r="BOE203" s="605"/>
      <c r="BOF203" s="605"/>
      <c r="BOG203" s="605"/>
      <c r="BOH203" s="605"/>
      <c r="BOI203" s="605"/>
      <c r="BOJ203" s="605"/>
      <c r="BOK203" s="605"/>
      <c r="BOL203" s="605"/>
      <c r="BOM203" s="605"/>
      <c r="BON203" s="605"/>
      <c r="BOO203" s="605"/>
      <c r="BOP203" s="605"/>
      <c r="BOQ203" s="605"/>
      <c r="BOR203" s="605"/>
      <c r="BOS203" s="605"/>
      <c r="BOT203" s="605"/>
      <c r="BOU203" s="605"/>
      <c r="BOV203" s="605"/>
      <c r="BOW203" s="605"/>
      <c r="BOX203" s="605"/>
      <c r="BOY203" s="605"/>
      <c r="BOZ203" s="605"/>
      <c r="BPA203" s="605"/>
      <c r="BPB203" s="605"/>
      <c r="BPC203" s="605"/>
      <c r="BPD203" s="605"/>
      <c r="BPE203" s="605"/>
      <c r="BPF203" s="605"/>
      <c r="BPG203" s="605"/>
      <c r="BPH203" s="605"/>
      <c r="BPI203" s="605"/>
      <c r="BPJ203" s="605"/>
      <c r="BPK203" s="605"/>
      <c r="BPL203" s="605"/>
      <c r="BPM203" s="605"/>
      <c r="BPN203" s="605"/>
      <c r="BPO203" s="605"/>
      <c r="BPP203" s="605"/>
      <c r="BPQ203" s="605"/>
      <c r="BPR203" s="605"/>
      <c r="BPS203" s="605"/>
      <c r="BPT203" s="605"/>
      <c r="BPU203" s="605"/>
      <c r="BPV203" s="605"/>
      <c r="BPW203" s="605"/>
      <c r="BPX203" s="605"/>
      <c r="BPY203" s="605"/>
      <c r="BPZ203" s="605"/>
      <c r="BQA203" s="605"/>
      <c r="BQB203" s="605"/>
      <c r="BQC203" s="605"/>
      <c r="BQD203" s="605"/>
      <c r="BQE203" s="605"/>
      <c r="BQF203" s="605"/>
      <c r="BQG203" s="605"/>
      <c r="BQH203" s="605"/>
      <c r="BQI203" s="605"/>
      <c r="BQJ203" s="605"/>
      <c r="BQK203" s="605"/>
      <c r="BQL203" s="605"/>
      <c r="BQM203" s="605"/>
      <c r="BQN203" s="605"/>
      <c r="BQO203" s="605"/>
      <c r="BQP203" s="605"/>
      <c r="BQQ203" s="605"/>
      <c r="BQR203" s="605"/>
      <c r="BQS203" s="605"/>
      <c r="BQT203" s="605"/>
      <c r="BQU203" s="605"/>
      <c r="BQV203" s="605"/>
      <c r="BQW203" s="605"/>
      <c r="BQX203" s="605"/>
      <c r="BQY203" s="605"/>
      <c r="BQZ203" s="605"/>
      <c r="BRA203" s="605"/>
      <c r="BRB203" s="605"/>
      <c r="BRC203" s="605"/>
      <c r="BRD203" s="605"/>
      <c r="BRE203" s="605"/>
      <c r="BRF203" s="605"/>
      <c r="BRG203" s="605"/>
      <c r="BRH203" s="605"/>
      <c r="BRI203" s="605"/>
      <c r="BRJ203" s="605"/>
      <c r="BRK203" s="605"/>
      <c r="BRL203" s="605"/>
      <c r="BRM203" s="605"/>
      <c r="BRN203" s="605"/>
      <c r="BRO203" s="605"/>
      <c r="BRP203" s="605"/>
      <c r="BRQ203" s="605"/>
      <c r="BRR203" s="605"/>
      <c r="BRS203" s="605"/>
      <c r="BRT203" s="605"/>
      <c r="BRU203" s="605"/>
      <c r="BRV203" s="605"/>
      <c r="BRW203" s="605"/>
      <c r="BRX203" s="605"/>
      <c r="BRY203" s="605"/>
      <c r="BRZ203" s="605"/>
      <c r="BSA203" s="605"/>
      <c r="BSB203" s="605"/>
      <c r="BSC203" s="605"/>
      <c r="BSD203" s="605"/>
      <c r="BSE203" s="605"/>
      <c r="BSF203" s="605"/>
      <c r="BSG203" s="605"/>
      <c r="BSH203" s="605"/>
      <c r="BSI203" s="605"/>
      <c r="BSJ203" s="605"/>
      <c r="BSK203" s="605"/>
      <c r="BSL203" s="605"/>
      <c r="BSM203" s="605"/>
      <c r="BSN203" s="605"/>
      <c r="BSO203" s="605"/>
      <c r="BSP203" s="605"/>
      <c r="BSQ203" s="605"/>
      <c r="BSR203" s="605"/>
      <c r="BSS203" s="605"/>
      <c r="BST203" s="605"/>
      <c r="BSU203" s="605"/>
      <c r="BSV203" s="605"/>
      <c r="BSW203" s="605"/>
      <c r="BSX203" s="605"/>
      <c r="BSY203" s="605"/>
      <c r="BSZ203" s="605"/>
      <c r="BTA203" s="605"/>
      <c r="BTB203" s="605"/>
      <c r="BTC203" s="605"/>
      <c r="BTD203" s="605"/>
      <c r="BTE203" s="605"/>
      <c r="BTF203" s="605"/>
      <c r="BTG203" s="605"/>
      <c r="BTH203" s="605"/>
      <c r="BTI203" s="605"/>
      <c r="BTJ203" s="605"/>
      <c r="BTK203" s="605"/>
      <c r="BTL203" s="605"/>
      <c r="BTM203" s="605"/>
      <c r="BTN203" s="605"/>
      <c r="BTO203" s="605"/>
      <c r="BTP203" s="605"/>
      <c r="BTQ203" s="605"/>
      <c r="BTR203" s="605"/>
      <c r="BTS203" s="605"/>
      <c r="BTT203" s="605"/>
      <c r="BTU203" s="605"/>
      <c r="BTV203" s="605"/>
      <c r="BTW203" s="605"/>
      <c r="BTX203" s="605"/>
      <c r="BTY203" s="605"/>
      <c r="BTZ203" s="605"/>
      <c r="BUA203" s="605"/>
      <c r="BUB203" s="605"/>
      <c r="BUC203" s="605"/>
      <c r="BUD203" s="605"/>
      <c r="BUE203" s="605"/>
      <c r="BUF203" s="605"/>
      <c r="BUG203" s="605"/>
      <c r="BUH203" s="605"/>
      <c r="BUI203" s="605"/>
      <c r="BUJ203" s="605"/>
      <c r="BUK203" s="605"/>
      <c r="BUL203" s="605"/>
      <c r="BUM203" s="605"/>
      <c r="BUN203" s="605"/>
      <c r="BUO203" s="605"/>
      <c r="BUP203" s="605"/>
      <c r="BUQ203" s="605"/>
      <c r="BUR203" s="605"/>
      <c r="BUS203" s="605"/>
      <c r="BUT203" s="605"/>
      <c r="BUU203" s="605"/>
      <c r="BUV203" s="605"/>
      <c r="BUW203" s="605"/>
      <c r="BUX203" s="605"/>
      <c r="BUY203" s="605"/>
      <c r="BUZ203" s="605"/>
      <c r="BVA203" s="605"/>
      <c r="BVB203" s="605"/>
      <c r="BVC203" s="605"/>
      <c r="BVD203" s="605"/>
      <c r="BVE203" s="605"/>
      <c r="BVF203" s="605"/>
      <c r="BVG203" s="605"/>
      <c r="BVH203" s="605"/>
      <c r="BVI203" s="605"/>
      <c r="BVJ203" s="605"/>
      <c r="BVK203" s="605"/>
      <c r="BVL203" s="605"/>
      <c r="BVM203" s="605"/>
      <c r="BVN203" s="605"/>
      <c r="BVO203" s="605"/>
      <c r="BVP203" s="605"/>
      <c r="BVQ203" s="605"/>
      <c r="BVR203" s="605"/>
      <c r="BVS203" s="605"/>
      <c r="BVT203" s="605"/>
      <c r="BVU203" s="605"/>
      <c r="BVV203" s="605"/>
      <c r="BVW203" s="605"/>
      <c r="BVX203" s="605"/>
      <c r="BVY203" s="605"/>
      <c r="BVZ203" s="605"/>
      <c r="BWA203" s="605"/>
      <c r="BWB203" s="605"/>
      <c r="BWC203" s="605"/>
      <c r="BWD203" s="605"/>
      <c r="BWE203" s="605"/>
      <c r="BWF203" s="605"/>
      <c r="BWG203" s="605"/>
      <c r="BWH203" s="605"/>
      <c r="BWI203" s="605"/>
      <c r="BWJ203" s="605"/>
      <c r="BWK203" s="605"/>
      <c r="BWL203" s="605"/>
      <c r="BWM203" s="605"/>
      <c r="BWN203" s="605"/>
      <c r="BWO203" s="605"/>
      <c r="BWP203" s="605"/>
      <c r="BWQ203" s="605"/>
      <c r="BWR203" s="605"/>
      <c r="BWS203" s="605"/>
      <c r="BWT203" s="605"/>
      <c r="BWU203" s="605"/>
      <c r="BWV203" s="605"/>
      <c r="BWW203" s="605"/>
      <c r="BWX203" s="605"/>
      <c r="BWY203" s="605"/>
      <c r="BWZ203" s="605"/>
      <c r="BXA203" s="605"/>
      <c r="BXB203" s="605"/>
      <c r="BXC203" s="605"/>
      <c r="BXD203" s="605"/>
      <c r="BXE203" s="605"/>
      <c r="BXF203" s="605"/>
      <c r="BXG203" s="605"/>
      <c r="BXH203" s="605"/>
      <c r="BXI203" s="605"/>
      <c r="BXJ203" s="605"/>
      <c r="BXK203" s="605"/>
      <c r="BXL203" s="605"/>
      <c r="BXM203" s="605"/>
      <c r="BXN203" s="605"/>
      <c r="BXO203" s="605"/>
      <c r="BXP203" s="605"/>
      <c r="BXQ203" s="605"/>
      <c r="BXR203" s="605"/>
      <c r="BXS203" s="605"/>
      <c r="BXT203" s="605"/>
      <c r="BXU203" s="605"/>
      <c r="BXV203" s="605"/>
      <c r="BXW203" s="605"/>
      <c r="BXX203" s="605"/>
      <c r="BXY203" s="605"/>
      <c r="BXZ203" s="605"/>
      <c r="BYA203" s="605"/>
      <c r="BYB203" s="605"/>
      <c r="BYC203" s="605"/>
      <c r="BYD203" s="605"/>
      <c r="BYE203" s="605"/>
      <c r="BYF203" s="605"/>
      <c r="BYG203" s="605"/>
      <c r="BYH203" s="605"/>
      <c r="BYI203" s="605"/>
      <c r="BYJ203" s="605"/>
      <c r="BYK203" s="605"/>
      <c r="BYL203" s="605"/>
      <c r="BYM203" s="605"/>
      <c r="BYN203" s="605"/>
      <c r="BYO203" s="605"/>
      <c r="BYP203" s="605"/>
      <c r="BYQ203" s="605"/>
      <c r="BYR203" s="605"/>
      <c r="BYS203" s="605"/>
      <c r="BYT203" s="605"/>
      <c r="BYU203" s="605"/>
      <c r="BYV203" s="605"/>
      <c r="BYW203" s="605"/>
      <c r="BYX203" s="605"/>
      <c r="BYY203" s="605"/>
      <c r="BYZ203" s="605"/>
      <c r="BZA203" s="605"/>
      <c r="BZB203" s="605"/>
      <c r="BZC203" s="605"/>
      <c r="BZD203" s="605"/>
      <c r="BZE203" s="605"/>
      <c r="BZF203" s="605"/>
      <c r="BZG203" s="605"/>
      <c r="BZH203" s="605"/>
      <c r="BZI203" s="605"/>
      <c r="BZJ203" s="605"/>
      <c r="BZK203" s="605"/>
      <c r="BZL203" s="605"/>
      <c r="BZM203" s="605"/>
      <c r="BZN203" s="605"/>
      <c r="BZO203" s="605"/>
      <c r="BZP203" s="605"/>
      <c r="BZQ203" s="605"/>
      <c r="BZR203" s="605"/>
      <c r="BZS203" s="605"/>
      <c r="BZT203" s="605"/>
      <c r="BZU203" s="605"/>
      <c r="BZV203" s="605"/>
      <c r="BZW203" s="605"/>
      <c r="BZX203" s="605"/>
      <c r="BZY203" s="605"/>
      <c r="BZZ203" s="605"/>
      <c r="CAA203" s="605"/>
      <c r="CAB203" s="605"/>
      <c r="CAC203" s="605"/>
      <c r="CAD203" s="605"/>
      <c r="CAE203" s="605"/>
      <c r="CAF203" s="605"/>
      <c r="CAG203" s="605"/>
      <c r="CAH203" s="605"/>
      <c r="CAI203" s="605"/>
      <c r="CAJ203" s="605"/>
      <c r="CAK203" s="605"/>
      <c r="CAL203" s="605"/>
      <c r="CAM203" s="605"/>
      <c r="CAN203" s="605"/>
      <c r="CAO203" s="605"/>
      <c r="CAP203" s="605"/>
      <c r="CAQ203" s="605"/>
      <c r="CAR203" s="605"/>
      <c r="CAS203" s="605"/>
      <c r="CAT203" s="605"/>
      <c r="CAU203" s="605"/>
      <c r="CAV203" s="605"/>
      <c r="CAW203" s="605"/>
      <c r="CAX203" s="605"/>
      <c r="CAY203" s="605"/>
      <c r="CAZ203" s="605"/>
      <c r="CBA203" s="605"/>
      <c r="CBB203" s="605"/>
      <c r="CBC203" s="605"/>
      <c r="CBD203" s="605"/>
      <c r="CBE203" s="605"/>
      <c r="CBF203" s="605"/>
      <c r="CBG203" s="605"/>
      <c r="CBH203" s="605"/>
      <c r="CBI203" s="605"/>
      <c r="CBJ203" s="605"/>
      <c r="CBK203" s="605"/>
      <c r="CBL203" s="605"/>
      <c r="CBM203" s="605"/>
      <c r="CBN203" s="605"/>
      <c r="CBO203" s="605"/>
      <c r="CBP203" s="605"/>
      <c r="CBQ203" s="605"/>
      <c r="CBR203" s="605"/>
      <c r="CBS203" s="605"/>
      <c r="CBT203" s="605"/>
      <c r="CBU203" s="605"/>
      <c r="CBV203" s="605"/>
      <c r="CBW203" s="605"/>
      <c r="CBX203" s="605"/>
      <c r="CBY203" s="605"/>
      <c r="CBZ203" s="605"/>
      <c r="CCA203" s="605"/>
      <c r="CCB203" s="605"/>
      <c r="CCC203" s="605"/>
      <c r="CCD203" s="605"/>
      <c r="CCE203" s="605"/>
      <c r="CCF203" s="605"/>
      <c r="CCG203" s="605"/>
      <c r="CCH203" s="605"/>
      <c r="CCI203" s="605"/>
      <c r="CCJ203" s="605"/>
      <c r="CCK203" s="605"/>
      <c r="CCL203" s="605"/>
      <c r="CCM203" s="605"/>
      <c r="CCN203" s="605"/>
      <c r="CCO203" s="605"/>
      <c r="CCP203" s="605"/>
      <c r="CCQ203" s="605"/>
      <c r="CCR203" s="605"/>
      <c r="CCS203" s="605"/>
      <c r="CCT203" s="605"/>
      <c r="CCU203" s="605"/>
      <c r="CCV203" s="605"/>
      <c r="CCW203" s="605"/>
      <c r="CCX203" s="605"/>
      <c r="CCY203" s="605"/>
      <c r="CCZ203" s="605"/>
      <c r="CDA203" s="605"/>
      <c r="CDB203" s="605"/>
      <c r="CDC203" s="605"/>
      <c r="CDD203" s="605"/>
      <c r="CDE203" s="605"/>
      <c r="CDF203" s="605"/>
      <c r="CDG203" s="605"/>
      <c r="CDH203" s="605"/>
      <c r="CDI203" s="605"/>
      <c r="CDJ203" s="605"/>
      <c r="CDK203" s="605"/>
      <c r="CDL203" s="605"/>
      <c r="CDM203" s="605"/>
      <c r="CDN203" s="605"/>
      <c r="CDO203" s="605"/>
      <c r="CDP203" s="605"/>
      <c r="CDQ203" s="605"/>
      <c r="CDR203" s="605"/>
      <c r="CDS203" s="605"/>
      <c r="CDT203" s="605"/>
      <c r="CDU203" s="605"/>
      <c r="CDV203" s="605"/>
      <c r="CDW203" s="605"/>
      <c r="CDX203" s="605"/>
      <c r="CDY203" s="605"/>
      <c r="CDZ203" s="605"/>
      <c r="CEA203" s="605"/>
      <c r="CEB203" s="605"/>
      <c r="CEC203" s="605"/>
      <c r="CED203" s="605"/>
      <c r="CEE203" s="605"/>
      <c r="CEF203" s="605"/>
      <c r="CEG203" s="605"/>
      <c r="CEH203" s="605"/>
      <c r="CEI203" s="605"/>
      <c r="CEJ203" s="605"/>
      <c r="CEK203" s="605"/>
      <c r="CEL203" s="605"/>
      <c r="CEM203" s="605"/>
      <c r="CEN203" s="605"/>
      <c r="CEO203" s="605"/>
      <c r="CEP203" s="605"/>
      <c r="CEQ203" s="605"/>
      <c r="CER203" s="605"/>
      <c r="CES203" s="605"/>
      <c r="CET203" s="605"/>
      <c r="CEU203" s="605"/>
      <c r="CEV203" s="605"/>
      <c r="CEW203" s="605"/>
      <c r="CEX203" s="605"/>
      <c r="CEY203" s="605"/>
      <c r="CEZ203" s="605"/>
      <c r="CFA203" s="605"/>
      <c r="CFB203" s="605"/>
      <c r="CFC203" s="605"/>
      <c r="CFD203" s="605"/>
      <c r="CFE203" s="605"/>
      <c r="CFF203" s="605"/>
      <c r="CFG203" s="605"/>
      <c r="CFH203" s="605"/>
      <c r="CFI203" s="605"/>
      <c r="CFJ203" s="605"/>
      <c r="CFK203" s="605"/>
      <c r="CFL203" s="605"/>
      <c r="CFM203" s="605"/>
      <c r="CFN203" s="605"/>
      <c r="CFO203" s="605"/>
      <c r="CFP203" s="605"/>
      <c r="CFQ203" s="605"/>
      <c r="CFR203" s="605"/>
      <c r="CFS203" s="605"/>
      <c r="CFT203" s="605"/>
      <c r="CFU203" s="605"/>
      <c r="CFV203" s="605"/>
      <c r="CFW203" s="605"/>
      <c r="CFX203" s="605"/>
      <c r="CFY203" s="605"/>
      <c r="CFZ203" s="605"/>
      <c r="CGA203" s="605"/>
      <c r="CGB203" s="605"/>
      <c r="CGC203" s="605"/>
      <c r="CGD203" s="605"/>
      <c r="CGE203" s="605"/>
      <c r="CGF203" s="605"/>
      <c r="CGG203" s="605"/>
      <c r="CGH203" s="605"/>
      <c r="CGI203" s="605"/>
      <c r="CGJ203" s="605"/>
      <c r="CGK203" s="605"/>
      <c r="CGL203" s="605"/>
      <c r="CGM203" s="605"/>
      <c r="CGN203" s="605"/>
      <c r="CGO203" s="605"/>
      <c r="CGP203" s="605"/>
      <c r="CGQ203" s="605"/>
      <c r="CGR203" s="605"/>
      <c r="CGS203" s="605"/>
      <c r="CGT203" s="605"/>
      <c r="CGU203" s="605"/>
      <c r="CGV203" s="605"/>
      <c r="CGW203" s="605"/>
      <c r="CGX203" s="605"/>
      <c r="CGY203" s="605"/>
      <c r="CGZ203" s="605"/>
      <c r="CHA203" s="605"/>
      <c r="CHB203" s="605"/>
      <c r="CHC203" s="605"/>
      <c r="CHD203" s="605"/>
      <c r="CHE203" s="605"/>
      <c r="CHF203" s="605"/>
      <c r="CHG203" s="605"/>
      <c r="CHH203" s="605"/>
      <c r="CHI203" s="605"/>
      <c r="CHJ203" s="605"/>
      <c r="CHK203" s="605"/>
      <c r="CHL203" s="605"/>
      <c r="CHM203" s="605"/>
      <c r="CHN203" s="605"/>
      <c r="CHO203" s="605"/>
      <c r="CHP203" s="605"/>
      <c r="CHQ203" s="605"/>
      <c r="CHR203" s="605"/>
      <c r="CHS203" s="605"/>
      <c r="CHT203" s="605"/>
      <c r="CHU203" s="605"/>
      <c r="CHV203" s="605"/>
      <c r="CHW203" s="605"/>
      <c r="CHX203" s="605"/>
      <c r="CHY203" s="605"/>
      <c r="CHZ203" s="605"/>
      <c r="CIA203" s="605"/>
      <c r="CIB203" s="605"/>
      <c r="CIC203" s="605"/>
      <c r="CID203" s="605"/>
      <c r="CIE203" s="605"/>
      <c r="CIF203" s="605"/>
      <c r="CIG203" s="605"/>
      <c r="CIH203" s="605"/>
      <c r="CII203" s="605"/>
      <c r="CIJ203" s="605"/>
      <c r="CIK203" s="605"/>
      <c r="CIL203" s="605"/>
      <c r="CIM203" s="605"/>
      <c r="CIN203" s="605"/>
      <c r="CIO203" s="605"/>
      <c r="CIP203" s="605"/>
      <c r="CIQ203" s="605"/>
      <c r="CIR203" s="605"/>
      <c r="CIS203" s="605"/>
      <c r="CIT203" s="605"/>
      <c r="CIU203" s="605"/>
      <c r="CIV203" s="605"/>
      <c r="CIW203" s="605"/>
      <c r="CIX203" s="605"/>
      <c r="CIY203" s="605"/>
      <c r="CIZ203" s="605"/>
      <c r="CJA203" s="605"/>
      <c r="CJB203" s="605"/>
      <c r="CJC203" s="605"/>
      <c r="CJD203" s="605"/>
      <c r="CJE203" s="605"/>
      <c r="CJF203" s="605"/>
      <c r="CJG203" s="605"/>
      <c r="CJH203" s="605"/>
      <c r="CJI203" s="605"/>
      <c r="CJJ203" s="605"/>
      <c r="CJK203" s="605"/>
      <c r="CJL203" s="605"/>
      <c r="CJM203" s="605"/>
      <c r="CJN203" s="605"/>
      <c r="CJO203" s="605"/>
      <c r="CJP203" s="605"/>
      <c r="CJQ203" s="605"/>
      <c r="CJR203" s="605"/>
      <c r="CJS203" s="605"/>
      <c r="CJT203" s="605"/>
      <c r="CJU203" s="605"/>
      <c r="CJV203" s="605"/>
      <c r="CJW203" s="605"/>
      <c r="CJX203" s="605"/>
      <c r="CJY203" s="605"/>
      <c r="CJZ203" s="605"/>
      <c r="CKA203" s="605"/>
      <c r="CKB203" s="605"/>
      <c r="CKC203" s="605"/>
      <c r="CKD203" s="605"/>
      <c r="CKE203" s="605"/>
      <c r="CKF203" s="605"/>
      <c r="CKG203" s="605"/>
      <c r="CKH203" s="605"/>
      <c r="CKI203" s="605"/>
      <c r="CKJ203" s="605"/>
      <c r="CKK203" s="605"/>
      <c r="CKL203" s="605"/>
      <c r="CKM203" s="605"/>
      <c r="CKN203" s="605"/>
      <c r="CKO203" s="605"/>
      <c r="CKP203" s="605"/>
      <c r="CKQ203" s="605"/>
      <c r="CKR203" s="605"/>
      <c r="CKS203" s="605"/>
      <c r="CKT203" s="605"/>
      <c r="CKU203" s="605"/>
      <c r="CKV203" s="605"/>
      <c r="CKW203" s="605"/>
      <c r="CKX203" s="605"/>
      <c r="CKY203" s="605"/>
      <c r="CKZ203" s="605"/>
      <c r="CLA203" s="605"/>
      <c r="CLB203" s="605"/>
      <c r="CLC203" s="605"/>
      <c r="CLD203" s="605"/>
      <c r="CLE203" s="605"/>
      <c r="CLF203" s="605"/>
      <c r="CLG203" s="605"/>
      <c r="CLH203" s="605"/>
      <c r="CLI203" s="605"/>
      <c r="CLJ203" s="605"/>
      <c r="CLK203" s="605"/>
      <c r="CLL203" s="605"/>
      <c r="CLM203" s="605"/>
      <c r="CLN203" s="605"/>
      <c r="CLO203" s="605"/>
      <c r="CLP203" s="605"/>
      <c r="CLQ203" s="605"/>
      <c r="CLR203" s="605"/>
      <c r="CLS203" s="605"/>
      <c r="CLT203" s="605"/>
      <c r="CLU203" s="605"/>
      <c r="CLV203" s="605"/>
      <c r="CLW203" s="605"/>
      <c r="CLX203" s="605"/>
      <c r="CLY203" s="605"/>
      <c r="CLZ203" s="605"/>
      <c r="CMA203" s="605"/>
      <c r="CMB203" s="605"/>
      <c r="CMC203" s="605"/>
      <c r="CMD203" s="605"/>
      <c r="CME203" s="605"/>
      <c r="CMF203" s="605"/>
      <c r="CMG203" s="605"/>
      <c r="CMH203" s="605"/>
      <c r="CMI203" s="605"/>
      <c r="CMJ203" s="605"/>
      <c r="CMK203" s="605"/>
      <c r="CML203" s="605"/>
      <c r="CMM203" s="605"/>
      <c r="CMN203" s="605"/>
      <c r="CMO203" s="605"/>
      <c r="CMP203" s="605"/>
      <c r="CMQ203" s="605"/>
      <c r="CMR203" s="605"/>
      <c r="CMS203" s="605"/>
      <c r="CMT203" s="605"/>
      <c r="CMU203" s="605"/>
      <c r="CMV203" s="605"/>
      <c r="CMW203" s="605"/>
      <c r="CMX203" s="605"/>
      <c r="CMY203" s="605"/>
      <c r="CMZ203" s="605"/>
      <c r="CNA203" s="605"/>
      <c r="CNB203" s="605"/>
      <c r="CNC203" s="605"/>
      <c r="CND203" s="605"/>
      <c r="CNE203" s="605"/>
      <c r="CNF203" s="605"/>
      <c r="CNG203" s="605"/>
      <c r="CNH203" s="605"/>
      <c r="CNI203" s="605"/>
      <c r="CNJ203" s="605"/>
      <c r="CNK203" s="605"/>
      <c r="CNL203" s="605"/>
      <c r="CNM203" s="605"/>
      <c r="CNN203" s="605"/>
      <c r="CNO203" s="605"/>
      <c r="CNP203" s="605"/>
      <c r="CNQ203" s="605"/>
      <c r="CNR203" s="605"/>
      <c r="CNS203" s="605"/>
      <c r="CNT203" s="605"/>
      <c r="CNU203" s="605"/>
      <c r="CNV203" s="605"/>
      <c r="CNW203" s="605"/>
      <c r="CNX203" s="605"/>
      <c r="CNY203" s="605"/>
      <c r="CNZ203" s="605"/>
      <c r="COA203" s="605"/>
      <c r="COB203" s="605"/>
      <c r="COC203" s="605"/>
      <c r="COD203" s="605"/>
      <c r="COE203" s="605"/>
      <c r="COF203" s="605"/>
      <c r="COG203" s="605"/>
      <c r="COH203" s="605"/>
      <c r="COI203" s="605"/>
      <c r="COJ203" s="605"/>
      <c r="COK203" s="605"/>
      <c r="COL203" s="605"/>
      <c r="COM203" s="605"/>
      <c r="CON203" s="605"/>
      <c r="COO203" s="605"/>
      <c r="COP203" s="605"/>
      <c r="COQ203" s="605"/>
      <c r="COR203" s="605"/>
      <c r="COS203" s="605"/>
      <c r="COT203" s="605"/>
      <c r="COU203" s="605"/>
      <c r="COV203" s="605"/>
      <c r="COW203" s="605"/>
      <c r="COX203" s="605"/>
      <c r="COY203" s="605"/>
      <c r="COZ203" s="605"/>
      <c r="CPA203" s="605"/>
      <c r="CPB203" s="605"/>
      <c r="CPC203" s="605"/>
      <c r="CPD203" s="605"/>
      <c r="CPE203" s="605"/>
      <c r="CPF203" s="605"/>
      <c r="CPG203" s="605"/>
      <c r="CPH203" s="605"/>
      <c r="CPI203" s="605"/>
      <c r="CPJ203" s="605"/>
      <c r="CPK203" s="605"/>
      <c r="CPL203" s="605"/>
      <c r="CPM203" s="605"/>
      <c r="CPN203" s="605"/>
      <c r="CPO203" s="605"/>
      <c r="CPP203" s="605"/>
      <c r="CPQ203" s="605"/>
      <c r="CPR203" s="605"/>
      <c r="CPS203" s="605"/>
      <c r="CPT203" s="605"/>
      <c r="CPU203" s="605"/>
      <c r="CPV203" s="605"/>
      <c r="CPW203" s="605"/>
      <c r="CPX203" s="605"/>
      <c r="CPY203" s="605"/>
      <c r="CPZ203" s="605"/>
      <c r="CQA203" s="605"/>
      <c r="CQB203" s="605"/>
      <c r="CQC203" s="605"/>
      <c r="CQD203" s="605"/>
      <c r="CQE203" s="605"/>
      <c r="CQF203" s="605"/>
      <c r="CQG203" s="605"/>
      <c r="CQH203" s="605"/>
      <c r="CQI203" s="605"/>
      <c r="CQJ203" s="605"/>
      <c r="CQK203" s="605"/>
      <c r="CQL203" s="605"/>
      <c r="CQM203" s="605"/>
      <c r="CQN203" s="605"/>
      <c r="CQO203" s="605"/>
      <c r="CQP203" s="605"/>
      <c r="CQQ203" s="605"/>
      <c r="CQR203" s="605"/>
      <c r="CQS203" s="605"/>
      <c r="CQT203" s="605"/>
      <c r="CQU203" s="605"/>
      <c r="CQV203" s="605"/>
      <c r="CQW203" s="605"/>
      <c r="CQX203" s="605"/>
      <c r="CQY203" s="605"/>
      <c r="CQZ203" s="605"/>
      <c r="CRA203" s="605"/>
      <c r="CRB203" s="605"/>
      <c r="CRC203" s="605"/>
      <c r="CRD203" s="605"/>
      <c r="CRE203" s="605"/>
      <c r="CRF203" s="605"/>
      <c r="CRG203" s="605"/>
      <c r="CRH203" s="605"/>
      <c r="CRI203" s="605"/>
      <c r="CRJ203" s="605"/>
      <c r="CRK203" s="605"/>
      <c r="CRL203" s="605"/>
      <c r="CRM203" s="605"/>
      <c r="CRN203" s="605"/>
      <c r="CRO203" s="605"/>
      <c r="CRP203" s="605"/>
      <c r="CRQ203" s="605"/>
      <c r="CRR203" s="605"/>
      <c r="CRS203" s="605"/>
      <c r="CRT203" s="605"/>
      <c r="CRU203" s="605"/>
      <c r="CRV203" s="605"/>
      <c r="CRW203" s="605"/>
      <c r="CRX203" s="605"/>
      <c r="CRY203" s="605"/>
      <c r="CRZ203" s="605"/>
      <c r="CSA203" s="605"/>
      <c r="CSB203" s="605"/>
      <c r="CSC203" s="605"/>
      <c r="CSD203" s="605"/>
      <c r="CSE203" s="605"/>
      <c r="CSF203" s="605"/>
      <c r="CSG203" s="605"/>
      <c r="CSH203" s="605"/>
      <c r="CSI203" s="605"/>
      <c r="CSJ203" s="605"/>
      <c r="CSK203" s="605"/>
      <c r="CSL203" s="605"/>
      <c r="CSM203" s="605"/>
      <c r="CSN203" s="605"/>
      <c r="CSO203" s="605"/>
      <c r="CSP203" s="605"/>
      <c r="CSQ203" s="605"/>
      <c r="CSR203" s="605"/>
      <c r="CSS203" s="605"/>
      <c r="CST203" s="605"/>
      <c r="CSU203" s="605"/>
      <c r="CSV203" s="605"/>
      <c r="CSW203" s="605"/>
      <c r="CSX203" s="605"/>
      <c r="CSY203" s="605"/>
      <c r="CSZ203" s="605"/>
      <c r="CTA203" s="605"/>
      <c r="CTB203" s="605"/>
      <c r="CTC203" s="605"/>
      <c r="CTD203" s="605"/>
      <c r="CTE203" s="605"/>
      <c r="CTF203" s="605"/>
      <c r="CTG203" s="605"/>
      <c r="CTH203" s="605"/>
      <c r="CTI203" s="605"/>
      <c r="CTJ203" s="605"/>
      <c r="CTK203" s="605"/>
      <c r="CTL203" s="605"/>
      <c r="CTM203" s="605"/>
      <c r="CTN203" s="605"/>
      <c r="CTO203" s="605"/>
      <c r="CTP203" s="605"/>
      <c r="CTQ203" s="605"/>
      <c r="CTR203" s="605"/>
      <c r="CTS203" s="605"/>
      <c r="CTT203" s="605"/>
      <c r="CTU203" s="605"/>
      <c r="CTV203" s="605"/>
      <c r="CTW203" s="605"/>
      <c r="CTX203" s="605"/>
      <c r="CTY203" s="605"/>
      <c r="CTZ203" s="605"/>
      <c r="CUA203" s="605"/>
      <c r="CUB203" s="605"/>
      <c r="CUC203" s="605"/>
      <c r="CUD203" s="605"/>
      <c r="CUE203" s="605"/>
      <c r="CUF203" s="605"/>
      <c r="CUG203" s="605"/>
      <c r="CUH203" s="605"/>
      <c r="CUI203" s="605"/>
      <c r="CUJ203" s="605"/>
      <c r="CUK203" s="605"/>
      <c r="CUL203" s="605"/>
      <c r="CUM203" s="605"/>
      <c r="CUN203" s="605"/>
      <c r="CUO203" s="605"/>
      <c r="CUP203" s="605"/>
      <c r="CUQ203" s="605"/>
      <c r="CUR203" s="605"/>
      <c r="CUS203" s="605"/>
      <c r="CUT203" s="605"/>
      <c r="CUU203" s="605"/>
      <c r="CUV203" s="605"/>
      <c r="CUW203" s="605"/>
      <c r="CUX203" s="605"/>
      <c r="CUY203" s="605"/>
      <c r="CUZ203" s="605"/>
      <c r="CVA203" s="605"/>
      <c r="CVB203" s="605"/>
      <c r="CVC203" s="605"/>
      <c r="CVD203" s="605"/>
      <c r="CVE203" s="605"/>
      <c r="CVF203" s="605"/>
      <c r="CVG203" s="605"/>
      <c r="CVH203" s="605"/>
      <c r="CVI203" s="605"/>
      <c r="CVJ203" s="605"/>
      <c r="CVK203" s="605"/>
      <c r="CVL203" s="605"/>
      <c r="CVM203" s="605"/>
      <c r="CVN203" s="605"/>
      <c r="CVO203" s="605"/>
      <c r="CVP203" s="605"/>
      <c r="CVQ203" s="605"/>
      <c r="CVR203" s="605"/>
      <c r="CVS203" s="605"/>
      <c r="CVT203" s="605"/>
      <c r="CVU203" s="605"/>
      <c r="CVV203" s="605"/>
      <c r="CVW203" s="605"/>
      <c r="CVX203" s="605"/>
      <c r="CVY203" s="605"/>
      <c r="CVZ203" s="605"/>
      <c r="CWA203" s="605"/>
      <c r="CWB203" s="605"/>
      <c r="CWC203" s="605"/>
      <c r="CWD203" s="605"/>
      <c r="CWE203" s="605"/>
      <c r="CWF203" s="605"/>
      <c r="CWG203" s="605"/>
      <c r="CWH203" s="605"/>
      <c r="CWI203" s="605"/>
      <c r="CWJ203" s="605"/>
      <c r="CWK203" s="605"/>
      <c r="CWL203" s="605"/>
      <c r="CWM203" s="605"/>
      <c r="CWN203" s="605"/>
      <c r="CWO203" s="605"/>
      <c r="CWP203" s="605"/>
      <c r="CWQ203" s="605"/>
      <c r="CWR203" s="605"/>
      <c r="CWS203" s="605"/>
      <c r="CWT203" s="605"/>
      <c r="CWU203" s="605"/>
      <c r="CWV203" s="605"/>
      <c r="CWW203" s="605"/>
      <c r="CWX203" s="605"/>
      <c r="CWY203" s="605"/>
      <c r="CWZ203" s="605"/>
      <c r="CXA203" s="605"/>
      <c r="CXB203" s="605"/>
      <c r="CXC203" s="605"/>
      <c r="CXD203" s="605"/>
      <c r="CXE203" s="605"/>
      <c r="CXF203" s="605"/>
      <c r="CXG203" s="605"/>
      <c r="CXH203" s="605"/>
      <c r="CXI203" s="605"/>
      <c r="CXJ203" s="605"/>
      <c r="CXK203" s="605"/>
      <c r="CXL203" s="605"/>
      <c r="CXM203" s="605"/>
      <c r="CXN203" s="605"/>
      <c r="CXO203" s="605"/>
      <c r="CXP203" s="605"/>
      <c r="CXQ203" s="605"/>
      <c r="CXR203" s="605"/>
      <c r="CXS203" s="605"/>
      <c r="CXT203" s="605"/>
      <c r="CXU203" s="605"/>
      <c r="CXV203" s="605"/>
      <c r="CXW203" s="605"/>
      <c r="CXX203" s="605"/>
      <c r="CXY203" s="605"/>
      <c r="CXZ203" s="605"/>
      <c r="CYA203" s="605"/>
      <c r="CYB203" s="605"/>
      <c r="CYC203" s="605"/>
      <c r="CYD203" s="605"/>
      <c r="CYE203" s="605"/>
      <c r="CYF203" s="605"/>
      <c r="CYG203" s="605"/>
      <c r="CYH203" s="605"/>
      <c r="CYI203" s="605"/>
      <c r="CYJ203" s="605"/>
      <c r="CYK203" s="605"/>
      <c r="CYL203" s="605"/>
      <c r="CYM203" s="605"/>
      <c r="CYN203" s="605"/>
      <c r="CYO203" s="605"/>
      <c r="CYP203" s="605"/>
      <c r="CYQ203" s="605"/>
      <c r="CYR203" s="605"/>
      <c r="CYS203" s="605"/>
      <c r="CYT203" s="605"/>
      <c r="CYU203" s="605"/>
      <c r="CYV203" s="605"/>
      <c r="CYW203" s="605"/>
      <c r="CYX203" s="605"/>
      <c r="CYY203" s="605"/>
      <c r="CYZ203" s="605"/>
      <c r="CZA203" s="605"/>
      <c r="CZB203" s="605"/>
      <c r="CZC203" s="605"/>
      <c r="CZD203" s="605"/>
      <c r="CZE203" s="605"/>
      <c r="CZF203" s="605"/>
      <c r="CZG203" s="605"/>
      <c r="CZH203" s="605"/>
      <c r="CZI203" s="605"/>
      <c r="CZJ203" s="605"/>
      <c r="CZK203" s="605"/>
      <c r="CZL203" s="605"/>
      <c r="CZM203" s="605"/>
      <c r="CZN203" s="605"/>
      <c r="CZO203" s="605"/>
      <c r="CZP203" s="605"/>
      <c r="CZQ203" s="605"/>
      <c r="CZR203" s="605"/>
      <c r="CZS203" s="605"/>
      <c r="CZT203" s="605"/>
      <c r="CZU203" s="605"/>
      <c r="CZV203" s="605"/>
      <c r="CZW203" s="605"/>
      <c r="CZX203" s="605"/>
      <c r="CZY203" s="605"/>
      <c r="CZZ203" s="605"/>
      <c r="DAA203" s="605"/>
      <c r="DAB203" s="605"/>
      <c r="DAC203" s="605"/>
      <c r="DAD203" s="605"/>
      <c r="DAE203" s="605"/>
      <c r="DAF203" s="605"/>
      <c r="DAG203" s="605"/>
      <c r="DAH203" s="605"/>
      <c r="DAI203" s="605"/>
      <c r="DAJ203" s="605"/>
      <c r="DAK203" s="605"/>
      <c r="DAL203" s="605"/>
      <c r="DAM203" s="605"/>
      <c r="DAN203" s="605"/>
      <c r="DAO203" s="605"/>
      <c r="DAP203" s="605"/>
      <c r="DAQ203" s="605"/>
      <c r="DAR203" s="605"/>
      <c r="DAS203" s="605"/>
      <c r="DAT203" s="605"/>
      <c r="DAU203" s="605"/>
      <c r="DAV203" s="605"/>
      <c r="DAW203" s="605"/>
      <c r="DAX203" s="605"/>
      <c r="DAY203" s="605"/>
      <c r="DAZ203" s="605"/>
      <c r="DBA203" s="605"/>
      <c r="DBB203" s="605"/>
      <c r="DBC203" s="605"/>
      <c r="DBD203" s="605"/>
      <c r="DBE203" s="605"/>
      <c r="DBF203" s="605"/>
      <c r="DBG203" s="605"/>
      <c r="DBH203" s="605"/>
      <c r="DBI203" s="605"/>
      <c r="DBJ203" s="605"/>
      <c r="DBK203" s="605"/>
      <c r="DBL203" s="605"/>
      <c r="DBM203" s="605"/>
      <c r="DBN203" s="605"/>
      <c r="DBO203" s="605"/>
      <c r="DBP203" s="605"/>
      <c r="DBQ203" s="605"/>
      <c r="DBR203" s="605"/>
      <c r="DBS203" s="605"/>
      <c r="DBT203" s="605"/>
      <c r="DBU203" s="605"/>
      <c r="DBV203" s="605"/>
      <c r="DBW203" s="605"/>
      <c r="DBX203" s="605"/>
      <c r="DBY203" s="605"/>
      <c r="DBZ203" s="605"/>
      <c r="DCA203" s="605"/>
      <c r="DCB203" s="605"/>
      <c r="DCC203" s="605"/>
      <c r="DCD203" s="605"/>
      <c r="DCE203" s="605"/>
      <c r="DCF203" s="605"/>
      <c r="DCG203" s="605"/>
      <c r="DCH203" s="605"/>
      <c r="DCI203" s="605"/>
      <c r="DCJ203" s="605"/>
      <c r="DCK203" s="605"/>
      <c r="DCL203" s="605"/>
      <c r="DCM203" s="605"/>
      <c r="DCN203" s="605"/>
      <c r="DCO203" s="605"/>
      <c r="DCP203" s="605"/>
      <c r="DCQ203" s="605"/>
      <c r="DCR203" s="605"/>
      <c r="DCS203" s="605"/>
      <c r="DCT203" s="605"/>
      <c r="DCU203" s="605"/>
      <c r="DCV203" s="605"/>
      <c r="DCW203" s="605"/>
      <c r="DCX203" s="605"/>
      <c r="DCY203" s="605"/>
      <c r="DCZ203" s="605"/>
      <c r="DDA203" s="605"/>
      <c r="DDB203" s="605"/>
      <c r="DDC203" s="605"/>
      <c r="DDD203" s="605"/>
      <c r="DDE203" s="605"/>
      <c r="DDF203" s="605"/>
      <c r="DDG203" s="605"/>
      <c r="DDH203" s="605"/>
      <c r="DDI203" s="605"/>
      <c r="DDJ203" s="605"/>
      <c r="DDK203" s="605"/>
      <c r="DDL203" s="605"/>
      <c r="DDM203" s="605"/>
      <c r="DDN203" s="605"/>
      <c r="DDO203" s="605"/>
      <c r="DDP203" s="605"/>
      <c r="DDQ203" s="605"/>
      <c r="DDR203" s="605"/>
      <c r="DDS203" s="605"/>
      <c r="DDT203" s="605"/>
      <c r="DDU203" s="605"/>
      <c r="DDV203" s="605"/>
      <c r="DDW203" s="605"/>
      <c r="DDX203" s="605"/>
      <c r="DDY203" s="605"/>
      <c r="DDZ203" s="605"/>
      <c r="DEA203" s="605"/>
      <c r="DEB203" s="605"/>
      <c r="DEC203" s="605"/>
      <c r="DED203" s="605"/>
      <c r="DEE203" s="605"/>
      <c r="DEF203" s="605"/>
      <c r="DEG203" s="605"/>
      <c r="DEH203" s="605"/>
      <c r="DEI203" s="605"/>
      <c r="DEJ203" s="605"/>
      <c r="DEK203" s="605"/>
      <c r="DEL203" s="605"/>
      <c r="DEM203" s="605"/>
      <c r="DEN203" s="605"/>
      <c r="DEO203" s="605"/>
      <c r="DEP203" s="605"/>
      <c r="DEQ203" s="605"/>
      <c r="DER203" s="605"/>
      <c r="DES203" s="605"/>
      <c r="DET203" s="605"/>
      <c r="DEU203" s="605"/>
      <c r="DEV203" s="605"/>
      <c r="DEW203" s="605"/>
      <c r="DEX203" s="605"/>
      <c r="DEY203" s="605"/>
      <c r="DEZ203" s="605"/>
      <c r="DFA203" s="605"/>
      <c r="DFB203" s="605"/>
      <c r="DFC203" s="605"/>
      <c r="DFD203" s="605"/>
      <c r="DFE203" s="605"/>
      <c r="DFF203" s="605"/>
      <c r="DFG203" s="605"/>
      <c r="DFH203" s="605"/>
      <c r="DFI203" s="605"/>
      <c r="DFJ203" s="605"/>
      <c r="DFK203" s="605"/>
      <c r="DFL203" s="605"/>
      <c r="DFM203" s="605"/>
      <c r="DFN203" s="605"/>
      <c r="DFO203" s="605"/>
      <c r="DFP203" s="605"/>
      <c r="DFQ203" s="605"/>
      <c r="DFR203" s="605"/>
      <c r="DFS203" s="605"/>
      <c r="DFT203" s="605"/>
      <c r="DFU203" s="605"/>
      <c r="DFV203" s="605"/>
      <c r="DFW203" s="605"/>
      <c r="DFX203" s="605"/>
      <c r="DFY203" s="605"/>
      <c r="DFZ203" s="605"/>
      <c r="DGA203" s="605"/>
      <c r="DGB203" s="605"/>
      <c r="DGC203" s="605"/>
      <c r="DGD203" s="605"/>
      <c r="DGE203" s="605"/>
      <c r="DGF203" s="605"/>
      <c r="DGG203" s="605"/>
      <c r="DGH203" s="605"/>
      <c r="DGI203" s="605"/>
      <c r="DGJ203" s="605"/>
      <c r="DGK203" s="605"/>
      <c r="DGL203" s="605"/>
      <c r="DGM203" s="605"/>
      <c r="DGN203" s="605"/>
      <c r="DGO203" s="605"/>
      <c r="DGP203" s="605"/>
      <c r="DGQ203" s="605"/>
      <c r="DGR203" s="605"/>
      <c r="DGS203" s="605"/>
      <c r="DGT203" s="605"/>
      <c r="DGU203" s="605"/>
      <c r="DGV203" s="605"/>
      <c r="DGW203" s="605"/>
      <c r="DGX203" s="605"/>
      <c r="DGY203" s="605"/>
      <c r="DGZ203" s="605"/>
      <c r="DHA203" s="605"/>
      <c r="DHB203" s="605"/>
      <c r="DHC203" s="605"/>
      <c r="DHD203" s="605"/>
      <c r="DHE203" s="605"/>
      <c r="DHF203" s="605"/>
      <c r="DHG203" s="605"/>
      <c r="DHH203" s="605"/>
      <c r="DHI203" s="605"/>
      <c r="DHJ203" s="605"/>
      <c r="DHK203" s="605"/>
      <c r="DHL203" s="605"/>
      <c r="DHM203" s="605"/>
      <c r="DHN203" s="605"/>
      <c r="DHO203" s="605"/>
      <c r="DHP203" s="605"/>
      <c r="DHQ203" s="605"/>
      <c r="DHR203" s="605"/>
      <c r="DHS203" s="605"/>
      <c r="DHT203" s="605"/>
      <c r="DHU203" s="605"/>
      <c r="DHV203" s="605"/>
      <c r="DHW203" s="605"/>
      <c r="DHX203" s="605"/>
      <c r="DHY203" s="605"/>
      <c r="DHZ203" s="605"/>
      <c r="DIA203" s="605"/>
      <c r="DIB203" s="605"/>
      <c r="DIC203" s="605"/>
      <c r="DID203" s="605"/>
      <c r="DIE203" s="605"/>
      <c r="DIF203" s="605"/>
      <c r="DIG203" s="605"/>
      <c r="DIH203" s="605"/>
      <c r="DII203" s="605"/>
      <c r="DIJ203" s="605"/>
      <c r="DIK203" s="605"/>
      <c r="DIL203" s="605"/>
      <c r="DIM203" s="605"/>
      <c r="DIN203" s="605"/>
      <c r="DIO203" s="605"/>
      <c r="DIP203" s="605"/>
      <c r="DIQ203" s="605"/>
      <c r="DIR203" s="605"/>
      <c r="DIS203" s="605"/>
      <c r="DIT203" s="605"/>
      <c r="DIU203" s="605"/>
      <c r="DIV203" s="605"/>
      <c r="DIW203" s="605"/>
      <c r="DIX203" s="605"/>
      <c r="DIY203" s="605"/>
      <c r="DIZ203" s="605"/>
      <c r="DJA203" s="605"/>
      <c r="DJB203" s="605"/>
      <c r="DJC203" s="605"/>
      <c r="DJD203" s="605"/>
      <c r="DJE203" s="605"/>
      <c r="DJF203" s="605"/>
      <c r="DJG203" s="605"/>
      <c r="DJH203" s="605"/>
      <c r="DJI203" s="605"/>
      <c r="DJJ203" s="605"/>
      <c r="DJK203" s="605"/>
      <c r="DJL203" s="605"/>
      <c r="DJM203" s="605"/>
      <c r="DJN203" s="605"/>
      <c r="DJO203" s="605"/>
      <c r="DJP203" s="605"/>
      <c r="DJQ203" s="605"/>
      <c r="DJR203" s="605"/>
      <c r="DJS203" s="605"/>
      <c r="DJT203" s="605"/>
      <c r="DJU203" s="605"/>
      <c r="DJV203" s="605"/>
      <c r="DJW203" s="605"/>
      <c r="DJX203" s="605"/>
      <c r="DJY203" s="605"/>
      <c r="DJZ203" s="605"/>
      <c r="DKA203" s="605"/>
      <c r="DKB203" s="605"/>
      <c r="DKC203" s="605"/>
      <c r="DKD203" s="605"/>
      <c r="DKE203" s="605"/>
      <c r="DKF203" s="605"/>
      <c r="DKG203" s="605"/>
      <c r="DKH203" s="605"/>
      <c r="DKI203" s="605"/>
      <c r="DKJ203" s="605"/>
      <c r="DKK203" s="605"/>
      <c r="DKL203" s="605"/>
      <c r="DKM203" s="605"/>
      <c r="DKN203" s="605"/>
      <c r="DKO203" s="605"/>
      <c r="DKP203" s="605"/>
      <c r="DKQ203" s="605"/>
      <c r="DKR203" s="605"/>
      <c r="DKS203" s="605"/>
      <c r="DKT203" s="605"/>
      <c r="DKU203" s="605"/>
      <c r="DKV203" s="605"/>
      <c r="DKW203" s="605"/>
      <c r="DKX203" s="605"/>
      <c r="DKY203" s="605"/>
      <c r="DKZ203" s="605"/>
      <c r="DLA203" s="605"/>
      <c r="DLB203" s="605"/>
      <c r="DLC203" s="605"/>
      <c r="DLD203" s="605"/>
      <c r="DLE203" s="605"/>
      <c r="DLF203" s="605"/>
      <c r="DLG203" s="605"/>
      <c r="DLH203" s="605"/>
      <c r="DLI203" s="605"/>
      <c r="DLJ203" s="605"/>
      <c r="DLK203" s="605"/>
      <c r="DLL203" s="605"/>
      <c r="DLM203" s="605"/>
      <c r="DLN203" s="605"/>
      <c r="DLO203" s="605"/>
      <c r="DLP203" s="605"/>
      <c r="DLQ203" s="605"/>
      <c r="DLR203" s="605"/>
      <c r="DLS203" s="605"/>
      <c r="DLT203" s="605"/>
      <c r="DLU203" s="605"/>
      <c r="DLV203" s="605"/>
      <c r="DLW203" s="605"/>
      <c r="DLX203" s="605"/>
      <c r="DLY203" s="605"/>
      <c r="DLZ203" s="605"/>
      <c r="DMA203" s="605"/>
      <c r="DMB203" s="605"/>
      <c r="DMC203" s="605"/>
      <c r="DMD203" s="605"/>
      <c r="DME203" s="605"/>
      <c r="DMF203" s="605"/>
      <c r="DMG203" s="605"/>
      <c r="DMH203" s="605"/>
      <c r="DMI203" s="605"/>
      <c r="DMJ203" s="605"/>
      <c r="DMK203" s="605"/>
      <c r="DML203" s="605"/>
      <c r="DMM203" s="605"/>
      <c r="DMN203" s="605"/>
      <c r="DMO203" s="605"/>
      <c r="DMP203" s="605"/>
      <c r="DMQ203" s="605"/>
      <c r="DMR203" s="605"/>
      <c r="DMS203" s="605"/>
      <c r="DMT203" s="605"/>
      <c r="DMU203" s="605"/>
      <c r="DMV203" s="605"/>
      <c r="DMW203" s="605"/>
      <c r="DMX203" s="605"/>
      <c r="DMY203" s="605"/>
      <c r="DMZ203" s="605"/>
      <c r="DNA203" s="605"/>
      <c r="DNB203" s="605"/>
      <c r="DNC203" s="605"/>
      <c r="DND203" s="605"/>
      <c r="DNE203" s="605"/>
      <c r="DNF203" s="605"/>
      <c r="DNG203" s="605"/>
      <c r="DNH203" s="605"/>
      <c r="DNI203" s="605"/>
      <c r="DNJ203" s="605"/>
      <c r="DNK203" s="605"/>
      <c r="DNL203" s="605"/>
      <c r="DNM203" s="605"/>
      <c r="DNN203" s="605"/>
      <c r="DNO203" s="605"/>
      <c r="DNP203" s="605"/>
      <c r="DNQ203" s="605"/>
      <c r="DNR203" s="605"/>
      <c r="DNS203" s="605"/>
      <c r="DNT203" s="605"/>
      <c r="DNU203" s="605"/>
      <c r="DNV203" s="605"/>
      <c r="DNW203" s="605"/>
      <c r="DNX203" s="605"/>
      <c r="DNY203" s="605"/>
      <c r="DNZ203" s="605"/>
      <c r="DOA203" s="605"/>
      <c r="DOB203" s="605"/>
      <c r="DOC203" s="605"/>
      <c r="DOD203" s="605"/>
      <c r="DOE203" s="605"/>
      <c r="DOF203" s="605"/>
      <c r="DOG203" s="605"/>
      <c r="DOH203" s="605"/>
      <c r="DOI203" s="605"/>
      <c r="DOJ203" s="605"/>
      <c r="DOK203" s="605"/>
      <c r="DOL203" s="605"/>
      <c r="DOM203" s="605"/>
      <c r="DON203" s="605"/>
      <c r="DOO203" s="605"/>
      <c r="DOP203" s="605"/>
      <c r="DOQ203" s="605"/>
      <c r="DOR203" s="605"/>
      <c r="DOS203" s="605"/>
      <c r="DOT203" s="605"/>
      <c r="DOU203" s="605"/>
      <c r="DOV203" s="605"/>
      <c r="DOW203" s="605"/>
      <c r="DOX203" s="605"/>
      <c r="DOY203" s="605"/>
      <c r="DOZ203" s="605"/>
      <c r="DPA203" s="605"/>
      <c r="DPB203" s="605"/>
      <c r="DPC203" s="605"/>
      <c r="DPD203" s="605"/>
      <c r="DPE203" s="605"/>
      <c r="DPF203" s="605"/>
      <c r="DPG203" s="605"/>
      <c r="DPH203" s="605"/>
      <c r="DPI203" s="605"/>
      <c r="DPJ203" s="605"/>
      <c r="DPK203" s="605"/>
      <c r="DPL203" s="605"/>
      <c r="DPM203" s="605"/>
      <c r="DPN203" s="605"/>
      <c r="DPO203" s="605"/>
      <c r="DPP203" s="605"/>
      <c r="DPQ203" s="605"/>
      <c r="DPR203" s="605"/>
      <c r="DPS203" s="605"/>
      <c r="DPT203" s="605"/>
      <c r="DPU203" s="605"/>
      <c r="DPV203" s="605"/>
      <c r="DPW203" s="605"/>
      <c r="DPX203" s="605"/>
      <c r="DPY203" s="605"/>
      <c r="DPZ203" s="605"/>
      <c r="DQA203" s="605"/>
      <c r="DQB203" s="605"/>
      <c r="DQC203" s="605"/>
      <c r="DQD203" s="605"/>
      <c r="DQE203" s="605"/>
      <c r="DQF203" s="605"/>
      <c r="DQG203" s="605"/>
      <c r="DQH203" s="605"/>
      <c r="DQI203" s="605"/>
      <c r="DQJ203" s="605"/>
      <c r="DQK203" s="605"/>
      <c r="DQL203" s="605"/>
      <c r="DQM203" s="605"/>
      <c r="DQN203" s="605"/>
      <c r="DQO203" s="605"/>
      <c r="DQP203" s="605"/>
      <c r="DQQ203" s="605"/>
      <c r="DQR203" s="605"/>
      <c r="DQS203" s="605"/>
      <c r="DQT203" s="605"/>
      <c r="DQU203" s="605"/>
      <c r="DQV203" s="605"/>
      <c r="DQW203" s="605"/>
      <c r="DQX203" s="605"/>
      <c r="DQY203" s="605"/>
      <c r="DQZ203" s="605"/>
      <c r="DRA203" s="605"/>
      <c r="DRB203" s="605"/>
      <c r="DRC203" s="605"/>
      <c r="DRD203" s="605"/>
      <c r="DRE203" s="605"/>
      <c r="DRF203" s="605"/>
      <c r="DRG203" s="605"/>
      <c r="DRH203" s="605"/>
      <c r="DRI203" s="605"/>
      <c r="DRJ203" s="605"/>
      <c r="DRK203" s="605"/>
      <c r="DRL203" s="605"/>
      <c r="DRM203" s="605"/>
      <c r="DRN203" s="605"/>
      <c r="DRO203" s="605"/>
      <c r="DRP203" s="605"/>
      <c r="DRQ203" s="605"/>
      <c r="DRR203" s="605"/>
      <c r="DRS203" s="605"/>
      <c r="DRT203" s="605"/>
      <c r="DRU203" s="605"/>
      <c r="DRV203" s="605"/>
      <c r="DRW203" s="605"/>
      <c r="DRX203" s="605"/>
      <c r="DRY203" s="605"/>
      <c r="DRZ203" s="605"/>
      <c r="DSA203" s="605"/>
      <c r="DSB203" s="605"/>
      <c r="DSC203" s="605"/>
      <c r="DSD203" s="605"/>
      <c r="DSE203" s="605"/>
      <c r="DSF203" s="605"/>
      <c r="DSG203" s="605"/>
      <c r="DSH203" s="605"/>
      <c r="DSI203" s="605"/>
      <c r="DSJ203" s="605"/>
      <c r="DSK203" s="605"/>
      <c r="DSL203" s="605"/>
      <c r="DSM203" s="605"/>
      <c r="DSN203" s="605"/>
      <c r="DSO203" s="605"/>
      <c r="DSP203" s="605"/>
      <c r="DSQ203" s="605"/>
      <c r="DSR203" s="605"/>
      <c r="DSS203" s="605"/>
      <c r="DST203" s="605"/>
      <c r="DSU203" s="605"/>
      <c r="DSV203" s="605"/>
      <c r="DSW203" s="605"/>
      <c r="DSX203" s="605"/>
      <c r="DSY203" s="605"/>
      <c r="DSZ203" s="605"/>
      <c r="DTA203" s="605"/>
      <c r="DTB203" s="605"/>
      <c r="DTC203" s="605"/>
      <c r="DTD203" s="605"/>
      <c r="DTE203" s="605"/>
      <c r="DTF203" s="605"/>
      <c r="DTG203" s="605"/>
      <c r="DTH203" s="605"/>
      <c r="DTI203" s="605"/>
      <c r="DTJ203" s="605"/>
      <c r="DTK203" s="605"/>
      <c r="DTL203" s="605"/>
      <c r="DTM203" s="605"/>
      <c r="DTN203" s="605"/>
      <c r="DTO203" s="605"/>
      <c r="DTP203" s="605"/>
      <c r="DTQ203" s="605"/>
      <c r="DTR203" s="605"/>
      <c r="DTS203" s="605"/>
      <c r="DTT203" s="605"/>
      <c r="DTU203" s="605"/>
      <c r="DTV203" s="605"/>
      <c r="DTW203" s="605"/>
      <c r="DTX203" s="605"/>
      <c r="DTY203" s="605"/>
      <c r="DTZ203" s="605"/>
      <c r="DUA203" s="605"/>
      <c r="DUB203" s="605"/>
      <c r="DUC203" s="605"/>
      <c r="DUD203" s="605"/>
      <c r="DUE203" s="605"/>
      <c r="DUF203" s="605"/>
      <c r="DUG203" s="605"/>
      <c r="DUH203" s="605"/>
      <c r="DUI203" s="605"/>
      <c r="DUJ203" s="605"/>
      <c r="DUK203" s="605"/>
      <c r="DUL203" s="605"/>
      <c r="DUM203" s="605"/>
      <c r="DUN203" s="605"/>
      <c r="DUO203" s="605"/>
      <c r="DUP203" s="605"/>
      <c r="DUQ203" s="605"/>
      <c r="DUR203" s="605"/>
      <c r="DUS203" s="605"/>
      <c r="DUT203" s="605"/>
      <c r="DUU203" s="605"/>
      <c r="DUV203" s="605"/>
      <c r="DUW203" s="605"/>
      <c r="DUX203" s="605"/>
      <c r="DUY203" s="605"/>
      <c r="DUZ203" s="605"/>
      <c r="DVA203" s="605"/>
      <c r="DVB203" s="605"/>
      <c r="DVC203" s="605"/>
      <c r="DVD203" s="605"/>
      <c r="DVE203" s="605"/>
      <c r="DVF203" s="605"/>
      <c r="DVG203" s="605"/>
      <c r="DVH203" s="605"/>
      <c r="DVI203" s="605"/>
      <c r="DVJ203" s="605"/>
      <c r="DVK203" s="605"/>
      <c r="DVL203" s="605"/>
      <c r="DVM203" s="605"/>
      <c r="DVN203" s="605"/>
      <c r="DVO203" s="605"/>
      <c r="DVP203" s="605"/>
      <c r="DVQ203" s="605"/>
      <c r="DVR203" s="605"/>
      <c r="DVS203" s="605"/>
      <c r="DVT203" s="605"/>
      <c r="DVU203" s="605"/>
      <c r="DVV203" s="605"/>
      <c r="DVW203" s="605"/>
      <c r="DVX203" s="605"/>
      <c r="DVY203" s="605"/>
      <c r="DVZ203" s="605"/>
      <c r="DWA203" s="605"/>
      <c r="DWB203" s="605"/>
      <c r="DWC203" s="605"/>
      <c r="DWD203" s="605"/>
      <c r="DWE203" s="605"/>
      <c r="DWF203" s="605"/>
      <c r="DWG203" s="605"/>
      <c r="DWH203" s="605"/>
      <c r="DWI203" s="605"/>
      <c r="DWJ203" s="605"/>
      <c r="DWK203" s="605"/>
      <c r="DWL203" s="605"/>
      <c r="DWM203" s="605"/>
      <c r="DWN203" s="605"/>
      <c r="DWO203" s="605"/>
      <c r="DWP203" s="605"/>
      <c r="DWQ203" s="605"/>
      <c r="DWR203" s="605"/>
      <c r="DWS203" s="605"/>
      <c r="DWT203" s="605"/>
      <c r="DWU203" s="605"/>
      <c r="DWV203" s="605"/>
      <c r="DWW203" s="605"/>
      <c r="DWX203" s="605"/>
      <c r="DWY203" s="605"/>
      <c r="DWZ203" s="605"/>
      <c r="DXA203" s="605"/>
      <c r="DXB203" s="605"/>
      <c r="DXC203" s="605"/>
      <c r="DXD203" s="605"/>
      <c r="DXE203" s="605"/>
      <c r="DXF203" s="605"/>
      <c r="DXG203" s="605"/>
      <c r="DXH203" s="605"/>
      <c r="DXI203" s="605"/>
      <c r="DXJ203" s="605"/>
      <c r="DXK203" s="605"/>
      <c r="DXL203" s="605"/>
      <c r="DXM203" s="605"/>
      <c r="DXN203" s="605"/>
      <c r="DXO203" s="605"/>
      <c r="DXP203" s="605"/>
      <c r="DXQ203" s="605"/>
      <c r="DXR203" s="605"/>
      <c r="DXS203" s="605"/>
      <c r="DXT203" s="605"/>
      <c r="DXU203" s="605"/>
      <c r="DXV203" s="605"/>
      <c r="DXW203" s="605"/>
      <c r="DXX203" s="605"/>
      <c r="DXY203" s="605"/>
      <c r="DXZ203" s="605"/>
      <c r="DYA203" s="605"/>
      <c r="DYB203" s="605"/>
      <c r="DYC203" s="605"/>
      <c r="DYD203" s="605"/>
      <c r="DYE203" s="605"/>
      <c r="DYF203" s="605"/>
      <c r="DYG203" s="605"/>
      <c r="DYH203" s="605"/>
      <c r="DYI203" s="605"/>
      <c r="DYJ203" s="605"/>
      <c r="DYK203" s="605"/>
      <c r="DYL203" s="605"/>
      <c r="DYM203" s="605"/>
      <c r="DYN203" s="605"/>
      <c r="DYO203" s="605"/>
      <c r="DYP203" s="605"/>
      <c r="DYQ203" s="605"/>
      <c r="DYR203" s="605"/>
      <c r="DYS203" s="605"/>
      <c r="DYT203" s="605"/>
      <c r="DYU203" s="605"/>
      <c r="DYV203" s="605"/>
      <c r="DYW203" s="605"/>
      <c r="DYX203" s="605"/>
      <c r="DYY203" s="605"/>
      <c r="DYZ203" s="605"/>
      <c r="DZA203" s="605"/>
      <c r="DZB203" s="605"/>
      <c r="DZC203" s="605"/>
      <c r="DZD203" s="605"/>
      <c r="DZE203" s="605"/>
      <c r="DZF203" s="605"/>
      <c r="DZG203" s="605"/>
      <c r="DZH203" s="605"/>
      <c r="DZI203" s="605"/>
      <c r="DZJ203" s="605"/>
      <c r="DZK203" s="605"/>
      <c r="DZL203" s="605"/>
      <c r="DZM203" s="605"/>
      <c r="DZN203" s="605"/>
      <c r="DZO203" s="605"/>
      <c r="DZP203" s="605"/>
      <c r="DZQ203" s="605"/>
      <c r="DZR203" s="605"/>
      <c r="DZS203" s="605"/>
      <c r="DZT203" s="605"/>
      <c r="DZU203" s="605"/>
      <c r="DZV203" s="605"/>
      <c r="DZW203" s="605"/>
      <c r="DZX203" s="605"/>
      <c r="DZY203" s="605"/>
      <c r="DZZ203" s="605"/>
      <c r="EAA203" s="605"/>
      <c r="EAB203" s="605"/>
      <c r="EAC203" s="605"/>
      <c r="EAD203" s="605"/>
      <c r="EAE203" s="605"/>
      <c r="EAF203" s="605"/>
      <c r="EAG203" s="605"/>
      <c r="EAH203" s="605"/>
      <c r="EAI203" s="605"/>
      <c r="EAJ203" s="605"/>
      <c r="EAK203" s="605"/>
      <c r="EAL203" s="605"/>
      <c r="EAM203" s="605"/>
      <c r="EAN203" s="605"/>
      <c r="EAO203" s="605"/>
      <c r="EAP203" s="605"/>
      <c r="EAQ203" s="605"/>
      <c r="EAR203" s="605"/>
      <c r="EAS203" s="605"/>
      <c r="EAT203" s="605"/>
      <c r="EAU203" s="605"/>
      <c r="EAV203" s="605"/>
      <c r="EAW203" s="605"/>
      <c r="EAX203" s="605"/>
      <c r="EAY203" s="605"/>
      <c r="EAZ203" s="605"/>
      <c r="EBA203" s="605"/>
      <c r="EBB203" s="605"/>
      <c r="EBC203" s="605"/>
      <c r="EBD203" s="605"/>
      <c r="EBE203" s="605"/>
      <c r="EBF203" s="605"/>
      <c r="EBG203" s="605"/>
      <c r="EBH203" s="605"/>
      <c r="EBI203" s="605"/>
      <c r="EBJ203" s="605"/>
      <c r="EBK203" s="605"/>
      <c r="EBL203" s="605"/>
      <c r="EBM203" s="605"/>
      <c r="EBN203" s="605"/>
      <c r="EBO203" s="605"/>
      <c r="EBP203" s="605"/>
      <c r="EBQ203" s="605"/>
      <c r="EBR203" s="605"/>
      <c r="EBS203" s="605"/>
      <c r="EBT203" s="605"/>
      <c r="EBU203" s="605"/>
      <c r="EBV203" s="605"/>
      <c r="EBW203" s="605"/>
      <c r="EBX203" s="605"/>
      <c r="EBY203" s="605"/>
      <c r="EBZ203" s="605"/>
      <c r="ECA203" s="605"/>
      <c r="ECB203" s="605"/>
      <c r="ECC203" s="605"/>
      <c r="ECD203" s="605"/>
      <c r="ECE203" s="605"/>
      <c r="ECF203" s="605"/>
      <c r="ECG203" s="605"/>
      <c r="ECH203" s="605"/>
      <c r="ECI203" s="605"/>
      <c r="ECJ203" s="605"/>
      <c r="ECK203" s="605"/>
      <c r="ECL203" s="605"/>
      <c r="ECM203" s="605"/>
      <c r="ECN203" s="605"/>
      <c r="ECO203" s="605"/>
      <c r="ECP203" s="605"/>
      <c r="ECQ203" s="605"/>
      <c r="ECR203" s="605"/>
      <c r="ECS203" s="605"/>
      <c r="ECT203" s="605"/>
      <c r="ECU203" s="605"/>
      <c r="ECV203" s="605"/>
      <c r="ECW203" s="605"/>
      <c r="ECX203" s="605"/>
      <c r="ECY203" s="605"/>
      <c r="ECZ203" s="605"/>
      <c r="EDA203" s="605"/>
      <c r="EDB203" s="605"/>
      <c r="EDC203" s="605"/>
      <c r="EDD203" s="605"/>
      <c r="EDE203" s="605"/>
      <c r="EDF203" s="605"/>
      <c r="EDG203" s="605"/>
      <c r="EDH203" s="605"/>
      <c r="EDI203" s="605"/>
      <c r="EDJ203" s="605"/>
      <c r="EDK203" s="605"/>
      <c r="EDL203" s="605"/>
      <c r="EDM203" s="605"/>
      <c r="EDN203" s="605"/>
      <c r="EDO203" s="605"/>
      <c r="EDP203" s="605"/>
      <c r="EDQ203" s="605"/>
      <c r="EDR203" s="605"/>
      <c r="EDS203" s="605"/>
      <c r="EDT203" s="605"/>
      <c r="EDU203" s="605"/>
      <c r="EDV203" s="605"/>
      <c r="EDW203" s="605"/>
      <c r="EDX203" s="605"/>
      <c r="EDY203" s="605"/>
      <c r="EDZ203" s="605"/>
      <c r="EEA203" s="605"/>
      <c r="EEB203" s="605"/>
      <c r="EEC203" s="605"/>
      <c r="EED203" s="605"/>
      <c r="EEE203" s="605"/>
      <c r="EEF203" s="605"/>
      <c r="EEG203" s="605"/>
      <c r="EEH203" s="605"/>
      <c r="EEI203" s="605"/>
      <c r="EEJ203" s="605"/>
      <c r="EEK203" s="605"/>
      <c r="EEL203" s="605"/>
      <c r="EEM203" s="605"/>
      <c r="EEN203" s="605"/>
      <c r="EEO203" s="605"/>
      <c r="EEP203" s="605"/>
      <c r="EEQ203" s="605"/>
      <c r="EER203" s="605"/>
      <c r="EES203" s="605"/>
      <c r="EET203" s="605"/>
      <c r="EEU203" s="605"/>
      <c r="EEV203" s="605"/>
      <c r="EEW203" s="605"/>
      <c r="EEX203" s="605"/>
      <c r="EEY203" s="605"/>
      <c r="EEZ203" s="605"/>
      <c r="EFA203" s="605"/>
      <c r="EFB203" s="605"/>
      <c r="EFC203" s="605"/>
      <c r="EFD203" s="605"/>
      <c r="EFE203" s="605"/>
      <c r="EFF203" s="605"/>
      <c r="EFG203" s="605"/>
      <c r="EFH203" s="605"/>
      <c r="EFI203" s="605"/>
      <c r="EFJ203" s="605"/>
      <c r="EFK203" s="605"/>
      <c r="EFL203" s="605"/>
      <c r="EFM203" s="605"/>
      <c r="EFN203" s="605"/>
      <c r="EFO203" s="605"/>
      <c r="EFP203" s="605"/>
      <c r="EFQ203" s="605"/>
      <c r="EFR203" s="605"/>
      <c r="EFS203" s="605"/>
      <c r="EFT203" s="605"/>
      <c r="EFU203" s="605"/>
      <c r="EFV203" s="605"/>
      <c r="EFW203" s="605"/>
      <c r="EFX203" s="605"/>
      <c r="EFY203" s="605"/>
      <c r="EFZ203" s="605"/>
      <c r="EGA203" s="605"/>
      <c r="EGB203" s="605"/>
      <c r="EGC203" s="605"/>
      <c r="EGD203" s="605"/>
      <c r="EGE203" s="605"/>
      <c r="EGF203" s="605"/>
      <c r="EGG203" s="605"/>
      <c r="EGH203" s="605"/>
      <c r="EGI203" s="605"/>
      <c r="EGJ203" s="605"/>
      <c r="EGK203" s="605"/>
      <c r="EGL203" s="605"/>
      <c r="EGM203" s="605"/>
      <c r="EGN203" s="605"/>
      <c r="EGO203" s="605"/>
      <c r="EGP203" s="605"/>
      <c r="EGQ203" s="605"/>
      <c r="EGR203" s="605"/>
      <c r="EGS203" s="605"/>
      <c r="EGT203" s="605"/>
      <c r="EGU203" s="605"/>
      <c r="EGV203" s="605"/>
      <c r="EGW203" s="605"/>
      <c r="EGX203" s="605"/>
      <c r="EGY203" s="605"/>
      <c r="EGZ203" s="605"/>
      <c r="EHA203" s="605"/>
      <c r="EHB203" s="605"/>
      <c r="EHC203" s="605"/>
      <c r="EHD203" s="605"/>
      <c r="EHE203" s="605"/>
      <c r="EHF203" s="605"/>
      <c r="EHG203" s="605"/>
      <c r="EHH203" s="605"/>
      <c r="EHI203" s="605"/>
      <c r="EHJ203" s="605"/>
      <c r="EHK203" s="605"/>
      <c r="EHL203" s="605"/>
      <c r="EHM203" s="605"/>
      <c r="EHN203" s="605"/>
      <c r="EHO203" s="605"/>
      <c r="EHP203" s="605"/>
      <c r="EHQ203" s="605"/>
      <c r="EHR203" s="605"/>
      <c r="EHS203" s="605"/>
      <c r="EHT203" s="605"/>
      <c r="EHU203" s="605"/>
      <c r="EHV203" s="605"/>
      <c r="EHW203" s="605"/>
      <c r="EHX203" s="605"/>
      <c r="EHY203" s="605"/>
      <c r="EHZ203" s="605"/>
      <c r="EIA203" s="605"/>
      <c r="EIB203" s="605"/>
      <c r="EIC203" s="605"/>
      <c r="EID203" s="605"/>
      <c r="EIE203" s="605"/>
      <c r="EIF203" s="605"/>
      <c r="EIG203" s="605"/>
      <c r="EIH203" s="605"/>
      <c r="EII203" s="605"/>
      <c r="EIJ203" s="605"/>
      <c r="EIK203" s="605"/>
      <c r="EIL203" s="605"/>
      <c r="EIM203" s="605"/>
      <c r="EIN203" s="605"/>
      <c r="EIO203" s="605"/>
      <c r="EIP203" s="605"/>
      <c r="EIQ203" s="605"/>
      <c r="EIR203" s="605"/>
      <c r="EIS203" s="605"/>
      <c r="EIT203" s="605"/>
      <c r="EIU203" s="605"/>
      <c r="EIV203" s="605"/>
      <c r="EIW203" s="605"/>
      <c r="EIX203" s="605"/>
      <c r="EIY203" s="605"/>
      <c r="EIZ203" s="605"/>
      <c r="EJA203" s="605"/>
      <c r="EJB203" s="605"/>
      <c r="EJC203" s="605"/>
      <c r="EJD203" s="605"/>
      <c r="EJE203" s="605"/>
      <c r="EJF203" s="605"/>
      <c r="EJG203" s="605"/>
      <c r="EJH203" s="605"/>
      <c r="EJI203" s="605"/>
      <c r="EJJ203" s="605"/>
      <c r="EJK203" s="605"/>
      <c r="EJL203" s="605"/>
      <c r="EJM203" s="605"/>
      <c r="EJN203" s="605"/>
      <c r="EJO203" s="605"/>
      <c r="EJP203" s="605"/>
      <c r="EJQ203" s="605"/>
      <c r="EJR203" s="605"/>
      <c r="EJS203" s="605"/>
      <c r="EJT203" s="605"/>
      <c r="EJU203" s="605"/>
      <c r="EJV203" s="605"/>
      <c r="EJW203" s="605"/>
      <c r="EJX203" s="605"/>
      <c r="EJY203" s="605"/>
      <c r="EJZ203" s="605"/>
      <c r="EKA203" s="605"/>
      <c r="EKB203" s="605"/>
      <c r="EKC203" s="605"/>
      <c r="EKD203" s="605"/>
      <c r="EKE203" s="605"/>
      <c r="EKF203" s="605"/>
      <c r="EKG203" s="605"/>
      <c r="EKH203" s="605"/>
      <c r="EKI203" s="605"/>
      <c r="EKJ203" s="605"/>
      <c r="EKK203" s="605"/>
      <c r="EKL203" s="605"/>
      <c r="EKM203" s="605"/>
      <c r="EKN203" s="605"/>
      <c r="EKO203" s="605"/>
      <c r="EKP203" s="605"/>
      <c r="EKQ203" s="605"/>
      <c r="EKR203" s="605"/>
      <c r="EKS203" s="605"/>
      <c r="EKT203" s="605"/>
      <c r="EKU203" s="605"/>
      <c r="EKV203" s="605"/>
      <c r="EKW203" s="605"/>
      <c r="EKX203" s="605"/>
      <c r="EKY203" s="605"/>
      <c r="EKZ203" s="605"/>
      <c r="ELA203" s="605"/>
      <c r="ELB203" s="605"/>
      <c r="ELC203" s="605"/>
      <c r="ELD203" s="605"/>
      <c r="ELE203" s="605"/>
      <c r="ELF203" s="605"/>
      <c r="ELG203" s="605"/>
      <c r="ELH203" s="605"/>
      <c r="ELI203" s="605"/>
      <c r="ELJ203" s="605"/>
      <c r="ELK203" s="605"/>
      <c r="ELL203" s="605"/>
      <c r="ELM203" s="605"/>
      <c r="ELN203" s="605"/>
      <c r="ELO203" s="605"/>
      <c r="ELP203" s="605"/>
      <c r="ELQ203" s="605"/>
      <c r="ELR203" s="605"/>
      <c r="ELS203" s="605"/>
      <c r="ELT203" s="605"/>
      <c r="ELU203" s="605"/>
      <c r="ELV203" s="605"/>
      <c r="ELW203" s="605"/>
      <c r="ELX203" s="605"/>
      <c r="ELY203" s="605"/>
      <c r="ELZ203" s="605"/>
      <c r="EMA203" s="605"/>
      <c r="EMB203" s="605"/>
      <c r="EMC203" s="605"/>
      <c r="EMD203" s="605"/>
      <c r="EME203" s="605"/>
      <c r="EMF203" s="605"/>
      <c r="EMG203" s="605"/>
      <c r="EMH203" s="605"/>
      <c r="EMI203" s="605"/>
      <c r="EMJ203" s="605"/>
      <c r="EMK203" s="605"/>
      <c r="EML203" s="605"/>
      <c r="EMM203" s="605"/>
      <c r="EMN203" s="605"/>
      <c r="EMO203" s="605"/>
      <c r="EMP203" s="605"/>
      <c r="EMQ203" s="605"/>
      <c r="EMR203" s="605"/>
      <c r="EMS203" s="605"/>
      <c r="EMT203" s="605"/>
      <c r="EMU203" s="605"/>
      <c r="EMV203" s="605"/>
      <c r="EMW203" s="605"/>
      <c r="EMX203" s="605"/>
      <c r="EMY203" s="605"/>
      <c r="EMZ203" s="605"/>
      <c r="ENA203" s="605"/>
      <c r="ENB203" s="605"/>
      <c r="ENC203" s="605"/>
      <c r="END203" s="605"/>
      <c r="ENE203" s="605"/>
      <c r="ENF203" s="605"/>
      <c r="ENG203" s="605"/>
      <c r="ENH203" s="605"/>
      <c r="ENI203" s="605"/>
      <c r="ENJ203" s="605"/>
      <c r="ENK203" s="605"/>
      <c r="ENL203" s="605"/>
      <c r="ENM203" s="605"/>
      <c r="ENN203" s="605"/>
      <c r="ENO203" s="605"/>
      <c r="ENP203" s="605"/>
      <c r="ENQ203" s="605"/>
      <c r="ENR203" s="605"/>
      <c r="ENS203" s="605"/>
      <c r="ENT203" s="605"/>
      <c r="ENU203" s="605"/>
      <c r="ENV203" s="605"/>
      <c r="ENW203" s="605"/>
      <c r="ENX203" s="605"/>
      <c r="ENY203" s="605"/>
      <c r="ENZ203" s="605"/>
      <c r="EOA203" s="605"/>
      <c r="EOB203" s="605"/>
      <c r="EOC203" s="605"/>
      <c r="EOD203" s="605"/>
      <c r="EOE203" s="605"/>
      <c r="EOF203" s="605"/>
      <c r="EOG203" s="605"/>
      <c r="EOH203" s="605"/>
      <c r="EOI203" s="605"/>
      <c r="EOJ203" s="605"/>
      <c r="EOK203" s="605"/>
      <c r="EOL203" s="605"/>
      <c r="EOM203" s="605"/>
      <c r="EON203" s="605"/>
      <c r="EOO203" s="605"/>
      <c r="EOP203" s="605"/>
      <c r="EOQ203" s="605"/>
      <c r="EOR203" s="605"/>
      <c r="EOS203" s="605"/>
      <c r="EOT203" s="605"/>
      <c r="EOU203" s="605"/>
      <c r="EOV203" s="605"/>
      <c r="EOW203" s="605"/>
      <c r="EOX203" s="605"/>
      <c r="EOY203" s="605"/>
      <c r="EOZ203" s="605"/>
      <c r="EPA203" s="605"/>
      <c r="EPB203" s="605"/>
      <c r="EPC203" s="605"/>
      <c r="EPD203" s="605"/>
      <c r="EPE203" s="605"/>
      <c r="EPF203" s="605"/>
      <c r="EPG203" s="605"/>
      <c r="EPH203" s="605"/>
      <c r="EPI203" s="605"/>
      <c r="EPJ203" s="605"/>
      <c r="EPK203" s="605"/>
      <c r="EPL203" s="605"/>
      <c r="EPM203" s="605"/>
      <c r="EPN203" s="605"/>
      <c r="EPO203" s="605"/>
      <c r="EPP203" s="605"/>
      <c r="EPQ203" s="605"/>
      <c r="EPR203" s="605"/>
      <c r="EPS203" s="605"/>
      <c r="EPT203" s="605"/>
      <c r="EPU203" s="605"/>
      <c r="EPV203" s="605"/>
      <c r="EPW203" s="605"/>
      <c r="EPX203" s="605"/>
      <c r="EPY203" s="605"/>
      <c r="EPZ203" s="605"/>
      <c r="EQA203" s="605"/>
      <c r="EQB203" s="605"/>
      <c r="EQC203" s="605"/>
      <c r="EQD203" s="605"/>
      <c r="EQE203" s="605"/>
      <c r="EQF203" s="605"/>
      <c r="EQG203" s="605"/>
      <c r="EQH203" s="605"/>
      <c r="EQI203" s="605"/>
      <c r="EQJ203" s="605"/>
      <c r="EQK203" s="605"/>
      <c r="EQL203" s="605"/>
      <c r="EQM203" s="605"/>
      <c r="EQN203" s="605"/>
      <c r="EQO203" s="605"/>
      <c r="EQP203" s="605"/>
      <c r="EQQ203" s="605"/>
      <c r="EQR203" s="605"/>
      <c r="EQS203" s="605"/>
      <c r="EQT203" s="605"/>
      <c r="EQU203" s="605"/>
      <c r="EQV203" s="605"/>
      <c r="EQW203" s="605"/>
      <c r="EQX203" s="605"/>
      <c r="EQY203" s="605"/>
      <c r="EQZ203" s="605"/>
      <c r="ERA203" s="605"/>
      <c r="ERB203" s="605"/>
      <c r="ERC203" s="605"/>
      <c r="ERD203" s="605"/>
      <c r="ERE203" s="605"/>
      <c r="ERF203" s="605"/>
      <c r="ERG203" s="605"/>
      <c r="ERH203" s="605"/>
      <c r="ERI203" s="605"/>
      <c r="ERJ203" s="605"/>
      <c r="ERK203" s="605"/>
      <c r="ERL203" s="605"/>
      <c r="ERM203" s="605"/>
      <c r="ERN203" s="605"/>
      <c r="ERO203" s="605"/>
      <c r="ERP203" s="605"/>
      <c r="ERQ203" s="605"/>
      <c r="ERR203" s="605"/>
      <c r="ERS203" s="605"/>
      <c r="ERT203" s="605"/>
      <c r="ERU203" s="605"/>
      <c r="ERV203" s="605"/>
      <c r="ERW203" s="605"/>
      <c r="ERX203" s="605"/>
      <c r="ERY203" s="605"/>
      <c r="ERZ203" s="605"/>
      <c r="ESA203" s="605"/>
      <c r="ESB203" s="605"/>
      <c r="ESC203" s="605"/>
      <c r="ESD203" s="605"/>
      <c r="ESE203" s="605"/>
      <c r="ESF203" s="605"/>
      <c r="ESG203" s="605"/>
      <c r="ESH203" s="605"/>
      <c r="ESI203" s="605"/>
      <c r="ESJ203" s="605"/>
      <c r="ESK203" s="605"/>
      <c r="ESL203" s="605"/>
      <c r="ESM203" s="605"/>
      <c r="ESN203" s="605"/>
      <c r="ESO203" s="605"/>
      <c r="ESP203" s="605"/>
      <c r="ESQ203" s="605"/>
      <c r="ESR203" s="605"/>
      <c r="ESS203" s="605"/>
      <c r="EST203" s="605"/>
      <c r="ESU203" s="605"/>
      <c r="ESV203" s="605"/>
      <c r="ESW203" s="605"/>
      <c r="ESX203" s="605"/>
      <c r="ESY203" s="605"/>
      <c r="ESZ203" s="605"/>
      <c r="ETA203" s="605"/>
      <c r="ETB203" s="605"/>
      <c r="ETC203" s="605"/>
      <c r="ETD203" s="605"/>
      <c r="ETE203" s="605"/>
      <c r="ETF203" s="605"/>
      <c r="ETG203" s="605"/>
      <c r="ETH203" s="605"/>
      <c r="ETI203" s="605"/>
      <c r="ETJ203" s="605"/>
      <c r="ETK203" s="605"/>
      <c r="ETL203" s="605"/>
      <c r="ETM203" s="605"/>
      <c r="ETN203" s="605"/>
      <c r="ETO203" s="605"/>
      <c r="ETP203" s="605"/>
      <c r="ETQ203" s="605"/>
      <c r="ETR203" s="605"/>
      <c r="ETS203" s="605"/>
      <c r="ETT203" s="605"/>
      <c r="ETU203" s="605"/>
      <c r="ETV203" s="605"/>
      <c r="ETW203" s="605"/>
      <c r="ETX203" s="605"/>
      <c r="ETY203" s="605"/>
      <c r="ETZ203" s="605"/>
      <c r="EUA203" s="605"/>
      <c r="EUB203" s="605"/>
      <c r="EUC203" s="605"/>
      <c r="EUD203" s="605"/>
      <c r="EUE203" s="605"/>
      <c r="EUF203" s="605"/>
      <c r="EUG203" s="605"/>
      <c r="EUH203" s="605"/>
      <c r="EUI203" s="605"/>
      <c r="EUJ203" s="605"/>
      <c r="EUK203" s="605"/>
      <c r="EUL203" s="605"/>
      <c r="EUM203" s="605"/>
      <c r="EUN203" s="605"/>
      <c r="EUO203" s="605"/>
      <c r="EUP203" s="605"/>
      <c r="EUQ203" s="605"/>
      <c r="EUR203" s="605"/>
      <c r="EUS203" s="605"/>
      <c r="EUT203" s="605"/>
      <c r="EUU203" s="605"/>
      <c r="EUV203" s="605"/>
      <c r="EUW203" s="605"/>
      <c r="EUX203" s="605"/>
      <c r="EUY203" s="605"/>
      <c r="EUZ203" s="605"/>
      <c r="EVA203" s="605"/>
      <c r="EVB203" s="605"/>
      <c r="EVC203" s="605"/>
      <c r="EVD203" s="605"/>
      <c r="EVE203" s="605"/>
      <c r="EVF203" s="605"/>
      <c r="EVG203" s="605"/>
      <c r="EVH203" s="605"/>
      <c r="EVI203" s="605"/>
      <c r="EVJ203" s="605"/>
      <c r="EVK203" s="605"/>
      <c r="EVL203" s="605"/>
      <c r="EVM203" s="605"/>
      <c r="EVN203" s="605"/>
      <c r="EVO203" s="605"/>
      <c r="EVP203" s="605"/>
      <c r="EVQ203" s="605"/>
      <c r="EVR203" s="605"/>
      <c r="EVS203" s="605"/>
      <c r="EVT203" s="605"/>
      <c r="EVU203" s="605"/>
      <c r="EVV203" s="605"/>
      <c r="EVW203" s="605"/>
      <c r="EVX203" s="605"/>
      <c r="EVY203" s="605"/>
      <c r="EVZ203" s="605"/>
      <c r="EWA203" s="605"/>
      <c r="EWB203" s="605"/>
      <c r="EWC203" s="605"/>
      <c r="EWD203" s="605"/>
      <c r="EWE203" s="605"/>
      <c r="EWF203" s="605"/>
      <c r="EWG203" s="605"/>
      <c r="EWH203" s="605"/>
      <c r="EWI203" s="605"/>
      <c r="EWJ203" s="605"/>
      <c r="EWK203" s="605"/>
      <c r="EWL203" s="605"/>
      <c r="EWM203" s="605"/>
      <c r="EWN203" s="605"/>
      <c r="EWO203" s="605"/>
      <c r="EWP203" s="605"/>
      <c r="EWQ203" s="605"/>
      <c r="EWR203" s="605"/>
      <c r="EWS203" s="605"/>
      <c r="EWT203" s="605"/>
      <c r="EWU203" s="605"/>
      <c r="EWV203" s="605"/>
      <c r="EWW203" s="605"/>
      <c r="EWX203" s="605"/>
      <c r="EWY203" s="605"/>
      <c r="EWZ203" s="605"/>
      <c r="EXA203" s="605"/>
      <c r="EXB203" s="605"/>
      <c r="EXC203" s="605"/>
      <c r="EXD203" s="605"/>
      <c r="EXE203" s="605"/>
      <c r="EXF203" s="605"/>
      <c r="EXG203" s="605"/>
      <c r="EXH203" s="605"/>
      <c r="EXI203" s="605"/>
      <c r="EXJ203" s="605"/>
      <c r="EXK203" s="605"/>
      <c r="EXL203" s="605"/>
      <c r="EXM203" s="605"/>
      <c r="EXN203" s="605"/>
      <c r="EXO203" s="605"/>
      <c r="EXP203" s="605"/>
      <c r="EXQ203" s="605"/>
      <c r="EXR203" s="605"/>
      <c r="EXS203" s="605"/>
      <c r="EXT203" s="605"/>
      <c r="EXU203" s="605"/>
      <c r="EXV203" s="605"/>
      <c r="EXW203" s="605"/>
      <c r="EXX203" s="605"/>
      <c r="EXY203" s="605"/>
      <c r="EXZ203" s="605"/>
      <c r="EYA203" s="605"/>
      <c r="EYB203" s="605"/>
      <c r="EYC203" s="605"/>
      <c r="EYD203" s="605"/>
      <c r="EYE203" s="605"/>
      <c r="EYF203" s="605"/>
      <c r="EYG203" s="605"/>
      <c r="EYH203" s="605"/>
      <c r="EYI203" s="605"/>
      <c r="EYJ203" s="605"/>
      <c r="EYK203" s="605"/>
      <c r="EYL203" s="605"/>
      <c r="EYM203" s="605"/>
      <c r="EYN203" s="605"/>
      <c r="EYO203" s="605"/>
      <c r="EYP203" s="605"/>
      <c r="EYQ203" s="605"/>
      <c r="EYR203" s="605"/>
      <c r="EYS203" s="605"/>
      <c r="EYT203" s="605"/>
      <c r="EYU203" s="605"/>
      <c r="EYV203" s="605"/>
      <c r="EYW203" s="605"/>
      <c r="EYX203" s="605"/>
      <c r="EYY203" s="605"/>
      <c r="EYZ203" s="605"/>
      <c r="EZA203" s="605"/>
      <c r="EZB203" s="605"/>
      <c r="EZC203" s="605"/>
      <c r="EZD203" s="605"/>
      <c r="EZE203" s="605"/>
      <c r="EZF203" s="605"/>
      <c r="EZG203" s="605"/>
      <c r="EZH203" s="605"/>
      <c r="EZI203" s="605"/>
      <c r="EZJ203" s="605"/>
      <c r="EZK203" s="605"/>
      <c r="EZL203" s="605"/>
      <c r="EZM203" s="605"/>
      <c r="EZN203" s="605"/>
      <c r="EZO203" s="605"/>
      <c r="EZP203" s="605"/>
      <c r="EZQ203" s="605"/>
      <c r="EZR203" s="605"/>
      <c r="EZS203" s="605"/>
      <c r="EZT203" s="605"/>
      <c r="EZU203" s="605"/>
      <c r="EZV203" s="605"/>
      <c r="EZW203" s="605"/>
      <c r="EZX203" s="605"/>
      <c r="EZY203" s="605"/>
      <c r="EZZ203" s="605"/>
      <c r="FAA203" s="605"/>
      <c r="FAB203" s="605"/>
      <c r="FAC203" s="605"/>
      <c r="FAD203" s="605"/>
      <c r="FAE203" s="605"/>
      <c r="FAF203" s="605"/>
      <c r="FAG203" s="605"/>
      <c r="FAH203" s="605"/>
      <c r="FAI203" s="605"/>
      <c r="FAJ203" s="605"/>
      <c r="FAK203" s="605"/>
      <c r="FAL203" s="605"/>
      <c r="FAM203" s="605"/>
      <c r="FAN203" s="605"/>
      <c r="FAO203" s="605"/>
      <c r="FAP203" s="605"/>
      <c r="FAQ203" s="605"/>
      <c r="FAR203" s="605"/>
      <c r="FAS203" s="605"/>
      <c r="FAT203" s="605"/>
      <c r="FAU203" s="605"/>
      <c r="FAV203" s="605"/>
      <c r="FAW203" s="605"/>
      <c r="FAX203" s="605"/>
      <c r="FAY203" s="605"/>
      <c r="FAZ203" s="605"/>
      <c r="FBA203" s="605"/>
      <c r="FBB203" s="605"/>
      <c r="FBC203" s="605"/>
      <c r="FBD203" s="605"/>
      <c r="FBE203" s="605"/>
      <c r="FBF203" s="605"/>
      <c r="FBG203" s="605"/>
      <c r="FBH203" s="605"/>
      <c r="FBI203" s="605"/>
      <c r="FBJ203" s="605"/>
      <c r="FBK203" s="605"/>
      <c r="FBL203" s="605"/>
      <c r="FBM203" s="605"/>
      <c r="FBN203" s="605"/>
      <c r="FBO203" s="605"/>
      <c r="FBP203" s="605"/>
      <c r="FBQ203" s="605"/>
      <c r="FBR203" s="605"/>
      <c r="FBS203" s="605"/>
      <c r="FBT203" s="605"/>
      <c r="FBU203" s="605"/>
      <c r="FBV203" s="605"/>
      <c r="FBW203" s="605"/>
      <c r="FBX203" s="605"/>
      <c r="FBY203" s="605"/>
      <c r="FBZ203" s="605"/>
      <c r="FCA203" s="605"/>
      <c r="FCB203" s="605"/>
      <c r="FCC203" s="605"/>
      <c r="FCD203" s="605"/>
      <c r="FCE203" s="605"/>
      <c r="FCF203" s="605"/>
      <c r="FCG203" s="605"/>
      <c r="FCH203" s="605"/>
      <c r="FCI203" s="605"/>
      <c r="FCJ203" s="605"/>
      <c r="FCK203" s="605"/>
      <c r="FCL203" s="605"/>
      <c r="FCM203" s="605"/>
      <c r="FCN203" s="605"/>
      <c r="FCO203" s="605"/>
      <c r="FCP203" s="605"/>
      <c r="FCQ203" s="605"/>
      <c r="FCR203" s="605"/>
      <c r="FCS203" s="605"/>
      <c r="FCT203" s="605"/>
      <c r="FCU203" s="605"/>
      <c r="FCV203" s="605"/>
      <c r="FCW203" s="605"/>
      <c r="FCX203" s="605"/>
      <c r="FCY203" s="605"/>
      <c r="FCZ203" s="605"/>
      <c r="FDA203" s="605"/>
      <c r="FDB203" s="605"/>
      <c r="FDC203" s="605"/>
      <c r="FDD203" s="605"/>
      <c r="FDE203" s="605"/>
      <c r="FDF203" s="605"/>
      <c r="FDG203" s="605"/>
      <c r="FDH203" s="605"/>
      <c r="FDI203" s="605"/>
      <c r="FDJ203" s="605"/>
      <c r="FDK203" s="605"/>
      <c r="FDL203" s="605"/>
      <c r="FDM203" s="605"/>
      <c r="FDN203" s="605"/>
      <c r="FDO203" s="605"/>
      <c r="FDP203" s="605"/>
      <c r="FDQ203" s="605"/>
      <c r="FDR203" s="605"/>
      <c r="FDS203" s="605"/>
      <c r="FDT203" s="605"/>
      <c r="FDU203" s="605"/>
      <c r="FDV203" s="605"/>
      <c r="FDW203" s="605"/>
      <c r="FDX203" s="605"/>
      <c r="FDY203" s="605"/>
      <c r="FDZ203" s="605"/>
      <c r="FEA203" s="605"/>
      <c r="FEB203" s="605"/>
      <c r="FEC203" s="605"/>
      <c r="FED203" s="605"/>
      <c r="FEE203" s="605"/>
      <c r="FEF203" s="605"/>
      <c r="FEG203" s="605"/>
      <c r="FEH203" s="605"/>
      <c r="FEI203" s="605"/>
      <c r="FEJ203" s="605"/>
      <c r="FEK203" s="605"/>
      <c r="FEL203" s="605"/>
      <c r="FEM203" s="605"/>
      <c r="FEN203" s="605"/>
      <c r="FEO203" s="605"/>
      <c r="FEP203" s="605"/>
      <c r="FEQ203" s="605"/>
      <c r="FER203" s="605"/>
      <c r="FES203" s="605"/>
      <c r="FET203" s="605"/>
      <c r="FEU203" s="605"/>
      <c r="FEV203" s="605"/>
      <c r="FEW203" s="605"/>
      <c r="FEX203" s="605"/>
      <c r="FEY203" s="605"/>
      <c r="FEZ203" s="605"/>
      <c r="FFA203" s="605"/>
      <c r="FFB203" s="605"/>
      <c r="FFC203" s="605"/>
      <c r="FFD203" s="605"/>
      <c r="FFE203" s="605"/>
      <c r="FFF203" s="605"/>
      <c r="FFG203" s="605"/>
      <c r="FFH203" s="605"/>
      <c r="FFI203" s="605"/>
      <c r="FFJ203" s="605"/>
      <c r="FFK203" s="605"/>
      <c r="FFL203" s="605"/>
      <c r="FFM203" s="605"/>
      <c r="FFN203" s="605"/>
      <c r="FFO203" s="605"/>
      <c r="FFP203" s="605"/>
      <c r="FFQ203" s="605"/>
      <c r="FFR203" s="605"/>
      <c r="FFS203" s="605"/>
      <c r="FFT203" s="605"/>
      <c r="FFU203" s="605"/>
      <c r="FFV203" s="605"/>
      <c r="FFW203" s="605"/>
      <c r="FFX203" s="605"/>
      <c r="FFY203" s="605"/>
      <c r="FFZ203" s="605"/>
      <c r="FGA203" s="605"/>
      <c r="FGB203" s="605"/>
      <c r="FGC203" s="605"/>
      <c r="FGD203" s="605"/>
      <c r="FGE203" s="605"/>
      <c r="FGF203" s="605"/>
      <c r="FGG203" s="605"/>
      <c r="FGH203" s="605"/>
      <c r="FGI203" s="605"/>
      <c r="FGJ203" s="605"/>
      <c r="FGK203" s="605"/>
      <c r="FGL203" s="605"/>
      <c r="FGM203" s="605"/>
      <c r="FGN203" s="605"/>
      <c r="FGO203" s="605"/>
      <c r="FGP203" s="605"/>
      <c r="FGQ203" s="605"/>
      <c r="FGR203" s="605"/>
      <c r="FGS203" s="605"/>
      <c r="FGT203" s="605"/>
      <c r="FGU203" s="605"/>
      <c r="FGV203" s="605"/>
      <c r="FGW203" s="605"/>
      <c r="FGX203" s="605"/>
      <c r="FGY203" s="605"/>
      <c r="FGZ203" s="605"/>
      <c r="FHA203" s="605"/>
      <c r="FHB203" s="605"/>
      <c r="FHC203" s="605"/>
      <c r="FHD203" s="605"/>
      <c r="FHE203" s="605"/>
      <c r="FHF203" s="605"/>
      <c r="FHG203" s="605"/>
      <c r="FHH203" s="605"/>
      <c r="FHI203" s="605"/>
      <c r="FHJ203" s="605"/>
      <c r="FHK203" s="605"/>
      <c r="FHL203" s="605"/>
      <c r="FHM203" s="605"/>
      <c r="FHN203" s="605"/>
      <c r="FHO203" s="605"/>
      <c r="FHP203" s="605"/>
      <c r="FHQ203" s="605"/>
      <c r="FHR203" s="605"/>
      <c r="FHS203" s="605"/>
      <c r="FHT203" s="605"/>
      <c r="FHU203" s="605"/>
      <c r="FHV203" s="605"/>
      <c r="FHW203" s="605"/>
      <c r="FHX203" s="605"/>
      <c r="FHY203" s="605"/>
      <c r="FHZ203" s="605"/>
      <c r="FIA203" s="605"/>
      <c r="FIB203" s="605"/>
      <c r="FIC203" s="605"/>
      <c r="FID203" s="605"/>
      <c r="FIE203" s="605"/>
      <c r="FIF203" s="605"/>
      <c r="FIG203" s="605"/>
      <c r="FIH203" s="605"/>
      <c r="FII203" s="605"/>
      <c r="FIJ203" s="605"/>
      <c r="FIK203" s="605"/>
      <c r="FIL203" s="605"/>
      <c r="FIM203" s="605"/>
      <c r="FIN203" s="605"/>
      <c r="FIO203" s="605"/>
      <c r="FIP203" s="605"/>
      <c r="FIQ203" s="605"/>
      <c r="FIR203" s="605"/>
      <c r="FIS203" s="605"/>
      <c r="FIT203" s="605"/>
      <c r="FIU203" s="605"/>
      <c r="FIV203" s="605"/>
      <c r="FIW203" s="605"/>
      <c r="FIX203" s="605"/>
      <c r="FIY203" s="605"/>
      <c r="FIZ203" s="605"/>
      <c r="FJA203" s="605"/>
      <c r="FJB203" s="605"/>
      <c r="FJC203" s="605"/>
      <c r="FJD203" s="605"/>
      <c r="FJE203" s="605"/>
      <c r="FJF203" s="605"/>
      <c r="FJG203" s="605"/>
      <c r="FJH203" s="605"/>
      <c r="FJI203" s="605"/>
      <c r="FJJ203" s="605"/>
      <c r="FJK203" s="605"/>
      <c r="FJL203" s="605"/>
      <c r="FJM203" s="605"/>
      <c r="FJN203" s="605"/>
      <c r="FJO203" s="605"/>
      <c r="FJP203" s="605"/>
      <c r="FJQ203" s="605"/>
      <c r="FJR203" s="605"/>
      <c r="FJS203" s="605"/>
      <c r="FJT203" s="605"/>
      <c r="FJU203" s="605"/>
      <c r="FJV203" s="605"/>
      <c r="FJW203" s="605"/>
      <c r="FJX203" s="605"/>
      <c r="FJY203" s="605"/>
      <c r="FJZ203" s="605"/>
      <c r="FKA203" s="605"/>
      <c r="FKB203" s="605"/>
      <c r="FKC203" s="605"/>
      <c r="FKD203" s="605"/>
      <c r="FKE203" s="605"/>
      <c r="FKF203" s="605"/>
      <c r="FKG203" s="605"/>
      <c r="FKH203" s="605"/>
      <c r="FKI203" s="605"/>
      <c r="FKJ203" s="605"/>
      <c r="FKK203" s="605"/>
      <c r="FKL203" s="605"/>
      <c r="FKM203" s="605"/>
      <c r="FKN203" s="605"/>
      <c r="FKO203" s="605"/>
      <c r="FKP203" s="605"/>
      <c r="FKQ203" s="605"/>
      <c r="FKR203" s="605"/>
      <c r="FKS203" s="605"/>
      <c r="FKT203" s="605"/>
      <c r="FKU203" s="605"/>
      <c r="FKV203" s="605"/>
      <c r="FKW203" s="605"/>
      <c r="FKX203" s="605"/>
      <c r="FKY203" s="605"/>
      <c r="FKZ203" s="605"/>
      <c r="FLA203" s="605"/>
      <c r="FLB203" s="605"/>
      <c r="FLC203" s="605"/>
      <c r="FLD203" s="605"/>
      <c r="FLE203" s="605"/>
      <c r="FLF203" s="605"/>
      <c r="FLG203" s="605"/>
      <c r="FLH203" s="605"/>
      <c r="FLI203" s="605"/>
      <c r="FLJ203" s="605"/>
      <c r="FLK203" s="605"/>
      <c r="FLL203" s="605"/>
      <c r="FLM203" s="605"/>
      <c r="FLN203" s="605"/>
      <c r="FLO203" s="605"/>
      <c r="FLP203" s="605"/>
      <c r="FLQ203" s="605"/>
      <c r="FLR203" s="605"/>
      <c r="FLS203" s="605"/>
      <c r="FLT203" s="605"/>
      <c r="FLU203" s="605"/>
      <c r="FLV203" s="605"/>
      <c r="FLW203" s="605"/>
      <c r="FLX203" s="605"/>
      <c r="FLY203" s="605"/>
      <c r="FLZ203" s="605"/>
      <c r="FMA203" s="605"/>
      <c r="FMB203" s="605"/>
      <c r="FMC203" s="605"/>
      <c r="FMD203" s="605"/>
      <c r="FME203" s="605"/>
      <c r="FMF203" s="605"/>
      <c r="FMG203" s="605"/>
      <c r="FMH203" s="605"/>
      <c r="FMI203" s="605"/>
      <c r="FMJ203" s="605"/>
      <c r="FMK203" s="605"/>
      <c r="FML203" s="605"/>
      <c r="FMM203" s="605"/>
      <c r="FMN203" s="605"/>
      <c r="FMO203" s="605"/>
      <c r="FMP203" s="605"/>
      <c r="FMQ203" s="605"/>
      <c r="FMR203" s="605"/>
      <c r="FMS203" s="605"/>
      <c r="FMT203" s="605"/>
      <c r="FMU203" s="605"/>
      <c r="FMV203" s="605"/>
      <c r="FMW203" s="605"/>
      <c r="FMX203" s="605"/>
      <c r="FMY203" s="605"/>
      <c r="FMZ203" s="605"/>
      <c r="FNA203" s="605"/>
      <c r="FNB203" s="605"/>
      <c r="FNC203" s="605"/>
      <c r="FND203" s="605"/>
      <c r="FNE203" s="605"/>
      <c r="FNF203" s="605"/>
      <c r="FNG203" s="605"/>
      <c r="FNH203" s="605"/>
      <c r="FNI203" s="605"/>
      <c r="FNJ203" s="605"/>
      <c r="FNK203" s="605"/>
      <c r="FNL203" s="605"/>
      <c r="FNM203" s="605"/>
      <c r="FNN203" s="605"/>
      <c r="FNO203" s="605"/>
      <c r="FNP203" s="605"/>
      <c r="FNQ203" s="605"/>
      <c r="FNR203" s="605"/>
      <c r="FNS203" s="605"/>
      <c r="FNT203" s="605"/>
      <c r="FNU203" s="605"/>
      <c r="FNV203" s="605"/>
      <c r="FNW203" s="605"/>
      <c r="FNX203" s="605"/>
      <c r="FNY203" s="605"/>
      <c r="FNZ203" s="605"/>
      <c r="FOA203" s="605"/>
      <c r="FOB203" s="605"/>
      <c r="FOC203" s="605"/>
      <c r="FOD203" s="605"/>
      <c r="FOE203" s="605"/>
      <c r="FOF203" s="605"/>
      <c r="FOG203" s="605"/>
      <c r="FOH203" s="605"/>
      <c r="FOI203" s="605"/>
      <c r="FOJ203" s="605"/>
      <c r="FOK203" s="605"/>
      <c r="FOL203" s="605"/>
      <c r="FOM203" s="605"/>
      <c r="FON203" s="605"/>
      <c r="FOO203" s="605"/>
      <c r="FOP203" s="605"/>
      <c r="FOQ203" s="605"/>
      <c r="FOR203" s="605"/>
      <c r="FOS203" s="605"/>
      <c r="FOT203" s="605"/>
      <c r="FOU203" s="605"/>
      <c r="FOV203" s="605"/>
      <c r="FOW203" s="605"/>
      <c r="FOX203" s="605"/>
      <c r="FOY203" s="605"/>
      <c r="FOZ203" s="605"/>
      <c r="FPA203" s="605"/>
      <c r="FPB203" s="605"/>
      <c r="FPC203" s="605"/>
      <c r="FPD203" s="605"/>
      <c r="FPE203" s="605"/>
      <c r="FPF203" s="605"/>
      <c r="FPG203" s="605"/>
      <c r="FPH203" s="605"/>
      <c r="FPI203" s="605"/>
      <c r="FPJ203" s="605"/>
      <c r="FPK203" s="605"/>
      <c r="FPL203" s="605"/>
      <c r="FPM203" s="605"/>
      <c r="FPN203" s="605"/>
      <c r="FPO203" s="605"/>
      <c r="FPP203" s="605"/>
      <c r="FPQ203" s="605"/>
      <c r="FPR203" s="605"/>
      <c r="FPS203" s="605"/>
      <c r="FPT203" s="605"/>
      <c r="FPU203" s="605"/>
      <c r="FPV203" s="605"/>
      <c r="FPW203" s="605"/>
      <c r="FPX203" s="605"/>
      <c r="FPY203" s="605"/>
      <c r="FPZ203" s="605"/>
      <c r="FQA203" s="605"/>
      <c r="FQB203" s="605"/>
      <c r="FQC203" s="605"/>
      <c r="FQD203" s="605"/>
      <c r="FQE203" s="605"/>
      <c r="FQF203" s="605"/>
      <c r="FQG203" s="605"/>
      <c r="FQH203" s="605"/>
      <c r="FQI203" s="605"/>
      <c r="FQJ203" s="605"/>
      <c r="FQK203" s="605"/>
      <c r="FQL203" s="605"/>
      <c r="FQM203" s="605"/>
      <c r="FQN203" s="605"/>
      <c r="FQO203" s="605"/>
      <c r="FQP203" s="605"/>
      <c r="FQQ203" s="605"/>
      <c r="FQR203" s="605"/>
      <c r="FQS203" s="605"/>
      <c r="FQT203" s="605"/>
      <c r="FQU203" s="605"/>
      <c r="FQV203" s="605"/>
      <c r="FQW203" s="605"/>
      <c r="FQX203" s="605"/>
      <c r="FQY203" s="605"/>
      <c r="FQZ203" s="605"/>
      <c r="FRA203" s="605"/>
      <c r="FRB203" s="605"/>
      <c r="FRC203" s="605"/>
      <c r="FRD203" s="605"/>
      <c r="FRE203" s="605"/>
      <c r="FRF203" s="605"/>
      <c r="FRG203" s="605"/>
      <c r="FRH203" s="605"/>
      <c r="FRI203" s="605"/>
      <c r="FRJ203" s="605"/>
      <c r="FRK203" s="605"/>
      <c r="FRL203" s="605"/>
      <c r="FRM203" s="605"/>
      <c r="FRN203" s="605"/>
      <c r="FRO203" s="605"/>
      <c r="FRP203" s="605"/>
      <c r="FRQ203" s="605"/>
      <c r="FRR203" s="605"/>
      <c r="FRS203" s="605"/>
      <c r="FRT203" s="605"/>
      <c r="FRU203" s="605"/>
      <c r="FRV203" s="605"/>
      <c r="FRW203" s="605"/>
      <c r="FRX203" s="605"/>
      <c r="FRY203" s="605"/>
      <c r="FRZ203" s="605"/>
      <c r="FSA203" s="605"/>
      <c r="FSB203" s="605"/>
      <c r="FSC203" s="605"/>
      <c r="FSD203" s="605"/>
      <c r="FSE203" s="605"/>
      <c r="FSF203" s="605"/>
      <c r="FSG203" s="605"/>
      <c r="FSH203" s="605"/>
      <c r="FSI203" s="605"/>
      <c r="FSJ203" s="605"/>
      <c r="FSK203" s="605"/>
      <c r="FSL203" s="605"/>
      <c r="FSM203" s="605"/>
      <c r="FSN203" s="605"/>
      <c r="FSO203" s="605"/>
      <c r="FSP203" s="605"/>
      <c r="FSQ203" s="605"/>
      <c r="FSR203" s="605"/>
      <c r="FSS203" s="605"/>
      <c r="FST203" s="605"/>
      <c r="FSU203" s="605"/>
      <c r="FSV203" s="605"/>
      <c r="FSW203" s="605"/>
      <c r="FSX203" s="605"/>
      <c r="FSY203" s="605"/>
      <c r="FSZ203" s="605"/>
      <c r="FTA203" s="605"/>
      <c r="FTB203" s="605"/>
      <c r="FTC203" s="605"/>
      <c r="FTD203" s="605"/>
      <c r="FTE203" s="605"/>
      <c r="FTF203" s="605"/>
      <c r="FTG203" s="605"/>
      <c r="FTH203" s="605"/>
      <c r="FTI203" s="605"/>
      <c r="FTJ203" s="605"/>
      <c r="FTK203" s="605"/>
      <c r="FTL203" s="605"/>
      <c r="FTM203" s="605"/>
      <c r="FTN203" s="605"/>
      <c r="FTO203" s="605"/>
      <c r="FTP203" s="605"/>
      <c r="FTQ203" s="605"/>
      <c r="FTR203" s="605"/>
      <c r="FTS203" s="605"/>
      <c r="FTT203" s="605"/>
      <c r="FTU203" s="605"/>
      <c r="FTV203" s="605"/>
      <c r="FTW203" s="605"/>
      <c r="FTX203" s="605"/>
      <c r="FTY203" s="605"/>
      <c r="FTZ203" s="605"/>
      <c r="FUA203" s="605"/>
      <c r="FUB203" s="605"/>
      <c r="FUC203" s="605"/>
      <c r="FUD203" s="605"/>
      <c r="FUE203" s="605"/>
      <c r="FUF203" s="605"/>
      <c r="FUG203" s="605"/>
      <c r="FUH203" s="605"/>
      <c r="FUI203" s="605"/>
      <c r="FUJ203" s="605"/>
      <c r="FUK203" s="605"/>
      <c r="FUL203" s="605"/>
      <c r="FUM203" s="605"/>
      <c r="FUN203" s="605"/>
      <c r="FUO203" s="605"/>
      <c r="FUP203" s="605"/>
      <c r="FUQ203" s="605"/>
      <c r="FUR203" s="605"/>
      <c r="FUS203" s="605"/>
      <c r="FUT203" s="605"/>
      <c r="FUU203" s="605"/>
      <c r="FUV203" s="605"/>
      <c r="FUW203" s="605"/>
      <c r="FUX203" s="605"/>
      <c r="FUY203" s="605"/>
      <c r="FUZ203" s="605"/>
      <c r="FVA203" s="605"/>
      <c r="FVB203" s="605"/>
      <c r="FVC203" s="605"/>
      <c r="FVD203" s="605"/>
      <c r="FVE203" s="605"/>
      <c r="FVF203" s="605"/>
      <c r="FVG203" s="605"/>
      <c r="FVH203" s="605"/>
      <c r="FVI203" s="605"/>
      <c r="FVJ203" s="605"/>
      <c r="FVK203" s="605"/>
      <c r="FVL203" s="605"/>
      <c r="FVM203" s="605"/>
      <c r="FVN203" s="605"/>
      <c r="FVO203" s="605"/>
      <c r="FVP203" s="605"/>
      <c r="FVQ203" s="605"/>
      <c r="FVR203" s="605"/>
      <c r="FVS203" s="605"/>
      <c r="FVT203" s="605"/>
      <c r="FVU203" s="605"/>
      <c r="FVV203" s="605"/>
      <c r="FVW203" s="605"/>
      <c r="FVX203" s="605"/>
      <c r="FVY203" s="605"/>
      <c r="FVZ203" s="605"/>
      <c r="FWA203" s="605"/>
      <c r="FWB203" s="605"/>
      <c r="FWC203" s="605"/>
      <c r="FWD203" s="605"/>
      <c r="FWE203" s="605"/>
      <c r="FWF203" s="605"/>
      <c r="FWG203" s="605"/>
      <c r="FWH203" s="605"/>
      <c r="FWI203" s="605"/>
      <c r="FWJ203" s="605"/>
      <c r="FWK203" s="605"/>
      <c r="FWL203" s="605"/>
      <c r="FWM203" s="605"/>
      <c r="FWN203" s="605"/>
      <c r="FWO203" s="605"/>
      <c r="FWP203" s="605"/>
      <c r="FWQ203" s="605"/>
      <c r="FWR203" s="605"/>
      <c r="FWS203" s="605"/>
      <c r="FWT203" s="605"/>
      <c r="FWU203" s="605"/>
      <c r="FWV203" s="605"/>
      <c r="FWW203" s="605"/>
      <c r="FWX203" s="605"/>
      <c r="FWY203" s="605"/>
      <c r="FWZ203" s="605"/>
      <c r="FXA203" s="605"/>
      <c r="FXB203" s="605"/>
      <c r="FXC203" s="605"/>
      <c r="FXD203" s="605"/>
      <c r="FXE203" s="605"/>
      <c r="FXF203" s="605"/>
      <c r="FXG203" s="605"/>
      <c r="FXH203" s="605"/>
      <c r="FXI203" s="605"/>
      <c r="FXJ203" s="605"/>
      <c r="FXK203" s="605"/>
      <c r="FXL203" s="605"/>
      <c r="FXM203" s="605"/>
      <c r="FXN203" s="605"/>
      <c r="FXO203" s="605"/>
      <c r="FXP203" s="605"/>
      <c r="FXQ203" s="605"/>
      <c r="FXR203" s="605"/>
      <c r="FXS203" s="605"/>
      <c r="FXT203" s="605"/>
      <c r="FXU203" s="605"/>
      <c r="FXV203" s="605"/>
      <c r="FXW203" s="605"/>
      <c r="FXX203" s="605"/>
      <c r="FXY203" s="605"/>
      <c r="FXZ203" s="605"/>
      <c r="FYA203" s="605"/>
      <c r="FYB203" s="605"/>
      <c r="FYC203" s="605"/>
      <c r="FYD203" s="605"/>
      <c r="FYE203" s="605"/>
      <c r="FYF203" s="605"/>
      <c r="FYG203" s="605"/>
      <c r="FYH203" s="605"/>
      <c r="FYI203" s="605"/>
      <c r="FYJ203" s="605"/>
      <c r="FYK203" s="605"/>
      <c r="FYL203" s="605"/>
      <c r="FYM203" s="605"/>
      <c r="FYN203" s="605"/>
      <c r="FYO203" s="605"/>
      <c r="FYP203" s="605"/>
      <c r="FYQ203" s="605"/>
      <c r="FYR203" s="605"/>
      <c r="FYS203" s="605"/>
      <c r="FYT203" s="605"/>
      <c r="FYU203" s="605"/>
      <c r="FYV203" s="605"/>
      <c r="FYW203" s="605"/>
      <c r="FYX203" s="605"/>
      <c r="FYY203" s="605"/>
      <c r="FYZ203" s="605"/>
      <c r="FZA203" s="605"/>
      <c r="FZB203" s="605"/>
      <c r="FZC203" s="605"/>
      <c r="FZD203" s="605"/>
      <c r="FZE203" s="605"/>
      <c r="FZF203" s="605"/>
      <c r="FZG203" s="605"/>
      <c r="FZH203" s="605"/>
      <c r="FZI203" s="605"/>
      <c r="FZJ203" s="605"/>
      <c r="FZK203" s="605"/>
      <c r="FZL203" s="605"/>
      <c r="FZM203" s="605"/>
      <c r="FZN203" s="605"/>
      <c r="FZO203" s="605"/>
      <c r="FZP203" s="605"/>
      <c r="FZQ203" s="605"/>
      <c r="FZR203" s="605"/>
      <c r="FZS203" s="605"/>
      <c r="FZT203" s="605"/>
      <c r="FZU203" s="605"/>
      <c r="FZV203" s="605"/>
      <c r="FZW203" s="605"/>
      <c r="FZX203" s="605"/>
      <c r="FZY203" s="605"/>
      <c r="FZZ203" s="605"/>
      <c r="GAA203" s="605"/>
      <c r="GAB203" s="605"/>
      <c r="GAC203" s="605"/>
      <c r="GAD203" s="605"/>
      <c r="GAE203" s="605"/>
      <c r="GAF203" s="605"/>
      <c r="GAG203" s="605"/>
      <c r="GAH203" s="605"/>
      <c r="GAI203" s="605"/>
      <c r="GAJ203" s="605"/>
      <c r="GAK203" s="605"/>
      <c r="GAL203" s="605"/>
      <c r="GAM203" s="605"/>
      <c r="GAN203" s="605"/>
      <c r="GAO203" s="605"/>
      <c r="GAP203" s="605"/>
      <c r="GAQ203" s="605"/>
      <c r="GAR203" s="605"/>
      <c r="GAS203" s="605"/>
      <c r="GAT203" s="605"/>
      <c r="GAU203" s="605"/>
      <c r="GAV203" s="605"/>
      <c r="GAW203" s="605"/>
      <c r="GAX203" s="605"/>
      <c r="GAY203" s="605"/>
      <c r="GAZ203" s="605"/>
      <c r="GBA203" s="605"/>
      <c r="GBB203" s="605"/>
      <c r="GBC203" s="605"/>
      <c r="GBD203" s="605"/>
      <c r="GBE203" s="605"/>
      <c r="GBF203" s="605"/>
      <c r="GBG203" s="605"/>
      <c r="GBH203" s="605"/>
      <c r="GBI203" s="605"/>
      <c r="GBJ203" s="605"/>
      <c r="GBK203" s="605"/>
      <c r="GBL203" s="605"/>
      <c r="GBM203" s="605"/>
      <c r="GBN203" s="605"/>
      <c r="GBO203" s="605"/>
      <c r="GBP203" s="605"/>
      <c r="GBQ203" s="605"/>
      <c r="GBR203" s="605"/>
      <c r="GBS203" s="605"/>
      <c r="GBT203" s="605"/>
      <c r="GBU203" s="605"/>
      <c r="GBV203" s="605"/>
      <c r="GBW203" s="605"/>
      <c r="GBX203" s="605"/>
      <c r="GBY203" s="605"/>
      <c r="GBZ203" s="605"/>
      <c r="GCA203" s="605"/>
      <c r="GCB203" s="605"/>
      <c r="GCC203" s="605"/>
      <c r="GCD203" s="605"/>
      <c r="GCE203" s="605"/>
      <c r="GCF203" s="605"/>
      <c r="GCG203" s="605"/>
      <c r="GCH203" s="605"/>
      <c r="GCI203" s="605"/>
      <c r="GCJ203" s="605"/>
      <c r="GCK203" s="605"/>
      <c r="GCL203" s="605"/>
      <c r="GCM203" s="605"/>
      <c r="GCN203" s="605"/>
      <c r="GCO203" s="605"/>
      <c r="GCP203" s="605"/>
      <c r="GCQ203" s="605"/>
      <c r="GCR203" s="605"/>
      <c r="GCS203" s="605"/>
      <c r="GCT203" s="605"/>
      <c r="GCU203" s="605"/>
      <c r="GCV203" s="605"/>
      <c r="GCW203" s="605"/>
      <c r="GCX203" s="605"/>
      <c r="GCY203" s="605"/>
      <c r="GCZ203" s="605"/>
      <c r="GDA203" s="605"/>
      <c r="GDB203" s="605"/>
      <c r="GDC203" s="605"/>
      <c r="GDD203" s="605"/>
      <c r="GDE203" s="605"/>
      <c r="GDF203" s="605"/>
      <c r="GDG203" s="605"/>
      <c r="GDH203" s="605"/>
      <c r="GDI203" s="605"/>
      <c r="GDJ203" s="605"/>
      <c r="GDK203" s="605"/>
      <c r="GDL203" s="605"/>
      <c r="GDM203" s="605"/>
      <c r="GDN203" s="605"/>
      <c r="GDO203" s="605"/>
      <c r="GDP203" s="605"/>
      <c r="GDQ203" s="605"/>
      <c r="GDR203" s="605"/>
      <c r="GDS203" s="605"/>
      <c r="GDT203" s="605"/>
      <c r="GDU203" s="605"/>
      <c r="GDV203" s="605"/>
      <c r="GDW203" s="605"/>
      <c r="GDX203" s="605"/>
      <c r="GDY203" s="605"/>
      <c r="GDZ203" s="605"/>
      <c r="GEA203" s="605"/>
      <c r="GEB203" s="605"/>
      <c r="GEC203" s="605"/>
      <c r="GED203" s="605"/>
      <c r="GEE203" s="605"/>
      <c r="GEF203" s="605"/>
      <c r="GEG203" s="605"/>
      <c r="GEH203" s="605"/>
      <c r="GEI203" s="605"/>
      <c r="GEJ203" s="605"/>
      <c r="GEK203" s="605"/>
      <c r="GEL203" s="605"/>
      <c r="GEM203" s="605"/>
      <c r="GEN203" s="605"/>
      <c r="GEO203" s="605"/>
      <c r="GEP203" s="605"/>
      <c r="GEQ203" s="605"/>
      <c r="GER203" s="605"/>
      <c r="GES203" s="605"/>
      <c r="GET203" s="605"/>
      <c r="GEU203" s="605"/>
      <c r="GEV203" s="605"/>
      <c r="GEW203" s="605"/>
      <c r="GEX203" s="605"/>
      <c r="GEY203" s="605"/>
      <c r="GEZ203" s="605"/>
      <c r="GFA203" s="605"/>
      <c r="GFB203" s="605"/>
      <c r="GFC203" s="605"/>
      <c r="GFD203" s="605"/>
      <c r="GFE203" s="605"/>
      <c r="GFF203" s="605"/>
      <c r="GFG203" s="605"/>
      <c r="GFH203" s="605"/>
      <c r="GFI203" s="605"/>
      <c r="GFJ203" s="605"/>
      <c r="GFK203" s="605"/>
      <c r="GFL203" s="605"/>
      <c r="GFM203" s="605"/>
      <c r="GFN203" s="605"/>
      <c r="GFO203" s="605"/>
      <c r="GFP203" s="605"/>
      <c r="GFQ203" s="605"/>
      <c r="GFR203" s="605"/>
      <c r="GFS203" s="605"/>
      <c r="GFT203" s="605"/>
      <c r="GFU203" s="605"/>
      <c r="GFV203" s="605"/>
      <c r="GFW203" s="605"/>
      <c r="GFX203" s="605"/>
      <c r="GFY203" s="605"/>
      <c r="GFZ203" s="605"/>
      <c r="GGA203" s="605"/>
      <c r="GGB203" s="605"/>
      <c r="GGC203" s="605"/>
      <c r="GGD203" s="605"/>
      <c r="GGE203" s="605"/>
      <c r="GGF203" s="605"/>
      <c r="GGG203" s="605"/>
      <c r="GGH203" s="605"/>
      <c r="GGI203" s="605"/>
      <c r="GGJ203" s="605"/>
      <c r="GGK203" s="605"/>
      <c r="GGL203" s="605"/>
      <c r="GGM203" s="605"/>
      <c r="GGN203" s="605"/>
      <c r="GGO203" s="605"/>
      <c r="GGP203" s="605"/>
      <c r="GGQ203" s="605"/>
      <c r="GGR203" s="605"/>
      <c r="GGS203" s="605"/>
      <c r="GGT203" s="605"/>
      <c r="GGU203" s="605"/>
      <c r="GGV203" s="605"/>
      <c r="GGW203" s="605"/>
      <c r="GGX203" s="605"/>
      <c r="GGY203" s="605"/>
      <c r="GGZ203" s="605"/>
      <c r="GHA203" s="605"/>
      <c r="GHB203" s="605"/>
      <c r="GHC203" s="605"/>
      <c r="GHD203" s="605"/>
      <c r="GHE203" s="605"/>
      <c r="GHF203" s="605"/>
      <c r="GHG203" s="605"/>
      <c r="GHH203" s="605"/>
      <c r="GHI203" s="605"/>
      <c r="GHJ203" s="605"/>
      <c r="GHK203" s="605"/>
      <c r="GHL203" s="605"/>
      <c r="GHM203" s="605"/>
      <c r="GHN203" s="605"/>
      <c r="GHO203" s="605"/>
      <c r="GHP203" s="605"/>
      <c r="GHQ203" s="605"/>
      <c r="GHR203" s="605"/>
      <c r="GHS203" s="605"/>
      <c r="GHT203" s="605"/>
      <c r="GHU203" s="605"/>
      <c r="GHV203" s="605"/>
      <c r="GHW203" s="605"/>
      <c r="GHX203" s="605"/>
      <c r="GHY203" s="605"/>
      <c r="GHZ203" s="605"/>
      <c r="GIA203" s="605"/>
      <c r="GIB203" s="605"/>
      <c r="GIC203" s="605"/>
      <c r="GID203" s="605"/>
      <c r="GIE203" s="605"/>
      <c r="GIF203" s="605"/>
      <c r="GIG203" s="605"/>
      <c r="GIH203" s="605"/>
      <c r="GII203" s="605"/>
      <c r="GIJ203" s="605"/>
      <c r="GIK203" s="605"/>
      <c r="GIL203" s="605"/>
      <c r="GIM203" s="605"/>
      <c r="GIN203" s="605"/>
      <c r="GIO203" s="605"/>
      <c r="GIP203" s="605"/>
      <c r="GIQ203" s="605"/>
      <c r="GIR203" s="605"/>
      <c r="GIS203" s="605"/>
      <c r="GIT203" s="605"/>
      <c r="GIU203" s="605"/>
      <c r="GIV203" s="605"/>
      <c r="GIW203" s="605"/>
      <c r="GIX203" s="605"/>
      <c r="GIY203" s="605"/>
      <c r="GIZ203" s="605"/>
      <c r="GJA203" s="605"/>
      <c r="GJB203" s="605"/>
      <c r="GJC203" s="605"/>
      <c r="GJD203" s="605"/>
      <c r="GJE203" s="605"/>
      <c r="GJF203" s="605"/>
      <c r="GJG203" s="605"/>
      <c r="GJH203" s="605"/>
      <c r="GJI203" s="605"/>
      <c r="GJJ203" s="605"/>
      <c r="GJK203" s="605"/>
      <c r="GJL203" s="605"/>
      <c r="GJM203" s="605"/>
      <c r="GJN203" s="605"/>
      <c r="GJO203" s="605"/>
      <c r="GJP203" s="605"/>
      <c r="GJQ203" s="605"/>
      <c r="GJR203" s="605"/>
      <c r="GJS203" s="605"/>
      <c r="GJT203" s="605"/>
      <c r="GJU203" s="605"/>
      <c r="GJV203" s="605"/>
      <c r="GJW203" s="605"/>
      <c r="GJX203" s="605"/>
      <c r="GJY203" s="605"/>
      <c r="GJZ203" s="605"/>
      <c r="GKA203" s="605"/>
      <c r="GKB203" s="605"/>
      <c r="GKC203" s="605"/>
      <c r="GKD203" s="605"/>
      <c r="GKE203" s="605"/>
      <c r="GKF203" s="605"/>
      <c r="GKG203" s="605"/>
      <c r="GKH203" s="605"/>
      <c r="GKI203" s="605"/>
      <c r="GKJ203" s="605"/>
      <c r="GKK203" s="605"/>
      <c r="GKL203" s="605"/>
      <c r="GKM203" s="605"/>
      <c r="GKN203" s="605"/>
      <c r="GKO203" s="605"/>
      <c r="GKP203" s="605"/>
      <c r="GKQ203" s="605"/>
      <c r="GKR203" s="605"/>
      <c r="GKS203" s="605"/>
      <c r="GKT203" s="605"/>
      <c r="GKU203" s="605"/>
      <c r="GKV203" s="605"/>
      <c r="GKW203" s="605"/>
      <c r="GKX203" s="605"/>
      <c r="GKY203" s="605"/>
      <c r="GKZ203" s="605"/>
      <c r="GLA203" s="605"/>
      <c r="GLB203" s="605"/>
      <c r="GLC203" s="605"/>
      <c r="GLD203" s="605"/>
      <c r="GLE203" s="605"/>
      <c r="GLF203" s="605"/>
      <c r="GLG203" s="605"/>
      <c r="GLH203" s="605"/>
      <c r="GLI203" s="605"/>
      <c r="GLJ203" s="605"/>
      <c r="GLK203" s="605"/>
      <c r="GLL203" s="605"/>
      <c r="GLM203" s="605"/>
      <c r="GLN203" s="605"/>
      <c r="GLO203" s="605"/>
      <c r="GLP203" s="605"/>
      <c r="GLQ203" s="605"/>
      <c r="GLR203" s="605"/>
      <c r="GLS203" s="605"/>
      <c r="GLT203" s="605"/>
      <c r="GLU203" s="605"/>
      <c r="GLV203" s="605"/>
      <c r="GLW203" s="605"/>
      <c r="GLX203" s="605"/>
      <c r="GLY203" s="605"/>
      <c r="GLZ203" s="605"/>
      <c r="GMA203" s="605"/>
      <c r="GMB203" s="605"/>
      <c r="GMC203" s="605"/>
      <c r="GMD203" s="605"/>
      <c r="GME203" s="605"/>
      <c r="GMF203" s="605"/>
      <c r="GMG203" s="605"/>
      <c r="GMH203" s="605"/>
      <c r="GMI203" s="605"/>
      <c r="GMJ203" s="605"/>
      <c r="GMK203" s="605"/>
      <c r="GML203" s="605"/>
      <c r="GMM203" s="605"/>
      <c r="GMN203" s="605"/>
      <c r="GMO203" s="605"/>
      <c r="GMP203" s="605"/>
      <c r="GMQ203" s="605"/>
      <c r="GMR203" s="605"/>
      <c r="GMS203" s="605"/>
      <c r="GMT203" s="605"/>
      <c r="GMU203" s="605"/>
      <c r="GMV203" s="605"/>
      <c r="GMW203" s="605"/>
      <c r="GMX203" s="605"/>
      <c r="GMY203" s="605"/>
      <c r="GMZ203" s="605"/>
      <c r="GNA203" s="605"/>
      <c r="GNB203" s="605"/>
      <c r="GNC203" s="605"/>
      <c r="GND203" s="605"/>
      <c r="GNE203" s="605"/>
      <c r="GNF203" s="605"/>
      <c r="GNG203" s="605"/>
      <c r="GNH203" s="605"/>
      <c r="GNI203" s="605"/>
      <c r="GNJ203" s="605"/>
      <c r="GNK203" s="605"/>
      <c r="GNL203" s="605"/>
      <c r="GNM203" s="605"/>
      <c r="GNN203" s="605"/>
      <c r="GNO203" s="605"/>
      <c r="GNP203" s="605"/>
      <c r="GNQ203" s="605"/>
      <c r="GNR203" s="605"/>
      <c r="GNS203" s="605"/>
      <c r="GNT203" s="605"/>
      <c r="GNU203" s="605"/>
      <c r="GNV203" s="605"/>
      <c r="GNW203" s="605"/>
      <c r="GNX203" s="605"/>
      <c r="GNY203" s="605"/>
      <c r="GNZ203" s="605"/>
      <c r="GOA203" s="605"/>
      <c r="GOB203" s="605"/>
      <c r="GOC203" s="605"/>
      <c r="GOD203" s="605"/>
      <c r="GOE203" s="605"/>
      <c r="GOF203" s="605"/>
      <c r="GOG203" s="605"/>
      <c r="GOH203" s="605"/>
      <c r="GOI203" s="605"/>
      <c r="GOJ203" s="605"/>
      <c r="GOK203" s="605"/>
      <c r="GOL203" s="605"/>
      <c r="GOM203" s="605"/>
      <c r="GON203" s="605"/>
      <c r="GOO203" s="605"/>
      <c r="GOP203" s="605"/>
      <c r="GOQ203" s="605"/>
      <c r="GOR203" s="605"/>
      <c r="GOS203" s="605"/>
      <c r="GOT203" s="605"/>
      <c r="GOU203" s="605"/>
      <c r="GOV203" s="605"/>
      <c r="GOW203" s="605"/>
      <c r="GOX203" s="605"/>
      <c r="GOY203" s="605"/>
      <c r="GOZ203" s="605"/>
      <c r="GPA203" s="605"/>
      <c r="GPB203" s="605"/>
      <c r="GPC203" s="605"/>
      <c r="GPD203" s="605"/>
      <c r="GPE203" s="605"/>
      <c r="GPF203" s="605"/>
      <c r="GPG203" s="605"/>
      <c r="GPH203" s="605"/>
      <c r="GPI203" s="605"/>
      <c r="GPJ203" s="605"/>
      <c r="GPK203" s="605"/>
      <c r="GPL203" s="605"/>
      <c r="GPM203" s="605"/>
      <c r="GPN203" s="605"/>
      <c r="GPO203" s="605"/>
      <c r="GPP203" s="605"/>
      <c r="GPQ203" s="605"/>
      <c r="GPR203" s="605"/>
      <c r="GPS203" s="605"/>
      <c r="GPT203" s="605"/>
      <c r="GPU203" s="605"/>
      <c r="GPV203" s="605"/>
      <c r="GPW203" s="605"/>
      <c r="GPX203" s="605"/>
      <c r="GPY203" s="605"/>
      <c r="GPZ203" s="605"/>
      <c r="GQA203" s="605"/>
      <c r="GQB203" s="605"/>
      <c r="GQC203" s="605"/>
      <c r="GQD203" s="605"/>
      <c r="GQE203" s="605"/>
      <c r="GQF203" s="605"/>
      <c r="GQG203" s="605"/>
      <c r="GQH203" s="605"/>
      <c r="GQI203" s="605"/>
      <c r="GQJ203" s="605"/>
      <c r="GQK203" s="605"/>
      <c r="GQL203" s="605"/>
      <c r="GQM203" s="605"/>
      <c r="GQN203" s="605"/>
      <c r="GQO203" s="605"/>
      <c r="GQP203" s="605"/>
      <c r="GQQ203" s="605"/>
      <c r="GQR203" s="605"/>
      <c r="GQS203" s="605"/>
      <c r="GQT203" s="605"/>
      <c r="GQU203" s="605"/>
      <c r="GQV203" s="605"/>
      <c r="GQW203" s="605"/>
      <c r="GQX203" s="605"/>
      <c r="GQY203" s="605"/>
      <c r="GQZ203" s="605"/>
      <c r="GRA203" s="605"/>
      <c r="GRB203" s="605"/>
      <c r="GRC203" s="605"/>
      <c r="GRD203" s="605"/>
      <c r="GRE203" s="605"/>
      <c r="GRF203" s="605"/>
      <c r="GRG203" s="605"/>
      <c r="GRH203" s="605"/>
      <c r="GRI203" s="605"/>
      <c r="GRJ203" s="605"/>
      <c r="GRK203" s="605"/>
      <c r="GRL203" s="605"/>
      <c r="GRM203" s="605"/>
      <c r="GRN203" s="605"/>
      <c r="GRO203" s="605"/>
      <c r="GRP203" s="605"/>
      <c r="GRQ203" s="605"/>
      <c r="GRR203" s="605"/>
      <c r="GRS203" s="605"/>
      <c r="GRT203" s="605"/>
      <c r="GRU203" s="605"/>
      <c r="GRV203" s="605"/>
      <c r="GRW203" s="605"/>
      <c r="GRX203" s="605"/>
      <c r="GRY203" s="605"/>
      <c r="GRZ203" s="605"/>
      <c r="GSA203" s="605"/>
      <c r="GSB203" s="605"/>
      <c r="GSC203" s="605"/>
      <c r="GSD203" s="605"/>
      <c r="GSE203" s="605"/>
      <c r="GSF203" s="605"/>
      <c r="GSG203" s="605"/>
      <c r="GSH203" s="605"/>
      <c r="GSI203" s="605"/>
      <c r="GSJ203" s="605"/>
      <c r="GSK203" s="605"/>
      <c r="GSL203" s="605"/>
      <c r="GSM203" s="605"/>
      <c r="GSN203" s="605"/>
      <c r="GSO203" s="605"/>
      <c r="GSP203" s="605"/>
      <c r="GSQ203" s="605"/>
      <c r="GSR203" s="605"/>
      <c r="GSS203" s="605"/>
      <c r="GST203" s="605"/>
      <c r="GSU203" s="605"/>
      <c r="GSV203" s="605"/>
      <c r="GSW203" s="605"/>
      <c r="GSX203" s="605"/>
      <c r="GSY203" s="605"/>
      <c r="GSZ203" s="605"/>
      <c r="GTA203" s="605"/>
      <c r="GTB203" s="605"/>
      <c r="GTC203" s="605"/>
      <c r="GTD203" s="605"/>
      <c r="GTE203" s="605"/>
      <c r="GTF203" s="605"/>
      <c r="GTG203" s="605"/>
      <c r="GTH203" s="605"/>
      <c r="GTI203" s="605"/>
      <c r="GTJ203" s="605"/>
      <c r="GTK203" s="605"/>
      <c r="GTL203" s="605"/>
      <c r="GTM203" s="605"/>
      <c r="GTN203" s="605"/>
      <c r="GTO203" s="605"/>
      <c r="GTP203" s="605"/>
      <c r="GTQ203" s="605"/>
      <c r="GTR203" s="605"/>
      <c r="GTS203" s="605"/>
      <c r="GTT203" s="605"/>
      <c r="GTU203" s="605"/>
      <c r="GTV203" s="605"/>
      <c r="GTW203" s="605"/>
      <c r="GTX203" s="605"/>
      <c r="GTY203" s="605"/>
      <c r="GTZ203" s="605"/>
      <c r="GUA203" s="605"/>
      <c r="GUB203" s="605"/>
      <c r="GUC203" s="605"/>
      <c r="GUD203" s="605"/>
      <c r="GUE203" s="605"/>
      <c r="GUF203" s="605"/>
      <c r="GUG203" s="605"/>
      <c r="GUH203" s="605"/>
      <c r="GUI203" s="605"/>
      <c r="GUJ203" s="605"/>
      <c r="GUK203" s="605"/>
      <c r="GUL203" s="605"/>
      <c r="GUM203" s="605"/>
      <c r="GUN203" s="605"/>
      <c r="GUO203" s="605"/>
      <c r="GUP203" s="605"/>
      <c r="GUQ203" s="605"/>
      <c r="GUR203" s="605"/>
      <c r="GUS203" s="605"/>
      <c r="GUT203" s="605"/>
      <c r="GUU203" s="605"/>
      <c r="GUV203" s="605"/>
      <c r="GUW203" s="605"/>
      <c r="GUX203" s="605"/>
      <c r="GUY203" s="605"/>
      <c r="GUZ203" s="605"/>
      <c r="GVA203" s="605"/>
      <c r="GVB203" s="605"/>
      <c r="GVC203" s="605"/>
      <c r="GVD203" s="605"/>
      <c r="GVE203" s="605"/>
      <c r="GVF203" s="605"/>
      <c r="GVG203" s="605"/>
      <c r="GVH203" s="605"/>
      <c r="GVI203" s="605"/>
      <c r="GVJ203" s="605"/>
      <c r="GVK203" s="605"/>
      <c r="GVL203" s="605"/>
      <c r="GVM203" s="605"/>
      <c r="GVN203" s="605"/>
      <c r="GVO203" s="605"/>
      <c r="GVP203" s="605"/>
      <c r="GVQ203" s="605"/>
      <c r="GVR203" s="605"/>
      <c r="GVS203" s="605"/>
      <c r="GVT203" s="605"/>
      <c r="GVU203" s="605"/>
      <c r="GVV203" s="605"/>
      <c r="GVW203" s="605"/>
      <c r="GVX203" s="605"/>
      <c r="GVY203" s="605"/>
      <c r="GVZ203" s="605"/>
      <c r="GWA203" s="605"/>
      <c r="GWB203" s="605"/>
      <c r="GWC203" s="605"/>
      <c r="GWD203" s="605"/>
      <c r="GWE203" s="605"/>
      <c r="GWF203" s="605"/>
      <c r="GWG203" s="605"/>
      <c r="GWH203" s="605"/>
      <c r="GWI203" s="605"/>
      <c r="GWJ203" s="605"/>
      <c r="GWK203" s="605"/>
      <c r="GWL203" s="605"/>
      <c r="GWM203" s="605"/>
      <c r="GWN203" s="605"/>
      <c r="GWO203" s="605"/>
      <c r="GWP203" s="605"/>
      <c r="GWQ203" s="605"/>
      <c r="GWR203" s="605"/>
      <c r="GWS203" s="605"/>
      <c r="GWT203" s="605"/>
      <c r="GWU203" s="605"/>
      <c r="GWV203" s="605"/>
      <c r="GWW203" s="605"/>
      <c r="GWX203" s="605"/>
      <c r="GWY203" s="605"/>
      <c r="GWZ203" s="605"/>
      <c r="GXA203" s="605"/>
      <c r="GXB203" s="605"/>
      <c r="GXC203" s="605"/>
      <c r="GXD203" s="605"/>
      <c r="GXE203" s="605"/>
      <c r="GXF203" s="605"/>
      <c r="GXG203" s="605"/>
      <c r="GXH203" s="605"/>
      <c r="GXI203" s="605"/>
      <c r="GXJ203" s="605"/>
      <c r="GXK203" s="605"/>
      <c r="GXL203" s="605"/>
      <c r="GXM203" s="605"/>
      <c r="GXN203" s="605"/>
      <c r="GXO203" s="605"/>
      <c r="GXP203" s="605"/>
      <c r="GXQ203" s="605"/>
      <c r="GXR203" s="605"/>
      <c r="GXS203" s="605"/>
      <c r="GXT203" s="605"/>
      <c r="GXU203" s="605"/>
      <c r="GXV203" s="605"/>
      <c r="GXW203" s="605"/>
      <c r="GXX203" s="605"/>
      <c r="GXY203" s="605"/>
      <c r="GXZ203" s="605"/>
      <c r="GYA203" s="605"/>
      <c r="GYB203" s="605"/>
      <c r="GYC203" s="605"/>
      <c r="GYD203" s="605"/>
      <c r="GYE203" s="605"/>
      <c r="GYF203" s="605"/>
      <c r="GYG203" s="605"/>
      <c r="GYH203" s="605"/>
      <c r="GYI203" s="605"/>
      <c r="GYJ203" s="605"/>
      <c r="GYK203" s="605"/>
      <c r="GYL203" s="605"/>
      <c r="GYM203" s="605"/>
      <c r="GYN203" s="605"/>
      <c r="GYO203" s="605"/>
      <c r="GYP203" s="605"/>
      <c r="GYQ203" s="605"/>
      <c r="GYR203" s="605"/>
      <c r="GYS203" s="605"/>
      <c r="GYT203" s="605"/>
      <c r="GYU203" s="605"/>
      <c r="GYV203" s="605"/>
      <c r="GYW203" s="605"/>
      <c r="GYX203" s="605"/>
      <c r="GYY203" s="605"/>
      <c r="GYZ203" s="605"/>
      <c r="GZA203" s="605"/>
      <c r="GZB203" s="605"/>
      <c r="GZC203" s="605"/>
      <c r="GZD203" s="605"/>
      <c r="GZE203" s="605"/>
      <c r="GZF203" s="605"/>
      <c r="GZG203" s="605"/>
      <c r="GZH203" s="605"/>
      <c r="GZI203" s="605"/>
      <c r="GZJ203" s="605"/>
      <c r="GZK203" s="605"/>
      <c r="GZL203" s="605"/>
      <c r="GZM203" s="605"/>
      <c r="GZN203" s="605"/>
      <c r="GZO203" s="605"/>
      <c r="GZP203" s="605"/>
      <c r="GZQ203" s="605"/>
      <c r="GZR203" s="605"/>
      <c r="GZS203" s="605"/>
      <c r="GZT203" s="605"/>
      <c r="GZU203" s="605"/>
      <c r="GZV203" s="605"/>
      <c r="GZW203" s="605"/>
      <c r="GZX203" s="605"/>
      <c r="GZY203" s="605"/>
      <c r="GZZ203" s="605"/>
      <c r="HAA203" s="605"/>
      <c r="HAB203" s="605"/>
      <c r="HAC203" s="605"/>
      <c r="HAD203" s="605"/>
      <c r="HAE203" s="605"/>
      <c r="HAF203" s="605"/>
      <c r="HAG203" s="605"/>
      <c r="HAH203" s="605"/>
      <c r="HAI203" s="605"/>
      <c r="HAJ203" s="605"/>
      <c r="HAK203" s="605"/>
      <c r="HAL203" s="605"/>
      <c r="HAM203" s="605"/>
      <c r="HAN203" s="605"/>
      <c r="HAO203" s="605"/>
      <c r="HAP203" s="605"/>
      <c r="HAQ203" s="605"/>
      <c r="HAR203" s="605"/>
      <c r="HAS203" s="605"/>
      <c r="HAT203" s="605"/>
      <c r="HAU203" s="605"/>
      <c r="HAV203" s="605"/>
      <c r="HAW203" s="605"/>
      <c r="HAX203" s="605"/>
      <c r="HAY203" s="605"/>
      <c r="HAZ203" s="605"/>
      <c r="HBA203" s="605"/>
      <c r="HBB203" s="605"/>
      <c r="HBC203" s="605"/>
      <c r="HBD203" s="605"/>
      <c r="HBE203" s="605"/>
      <c r="HBF203" s="605"/>
      <c r="HBG203" s="605"/>
      <c r="HBH203" s="605"/>
      <c r="HBI203" s="605"/>
      <c r="HBJ203" s="605"/>
      <c r="HBK203" s="605"/>
      <c r="HBL203" s="605"/>
      <c r="HBM203" s="605"/>
      <c r="HBN203" s="605"/>
      <c r="HBO203" s="605"/>
      <c r="HBP203" s="605"/>
      <c r="HBQ203" s="605"/>
      <c r="HBR203" s="605"/>
      <c r="HBS203" s="605"/>
      <c r="HBT203" s="605"/>
      <c r="HBU203" s="605"/>
      <c r="HBV203" s="605"/>
      <c r="HBW203" s="605"/>
      <c r="HBX203" s="605"/>
      <c r="HBY203" s="605"/>
      <c r="HBZ203" s="605"/>
      <c r="HCA203" s="605"/>
      <c r="HCB203" s="605"/>
      <c r="HCC203" s="605"/>
      <c r="HCD203" s="605"/>
      <c r="HCE203" s="605"/>
      <c r="HCF203" s="605"/>
      <c r="HCG203" s="605"/>
      <c r="HCH203" s="605"/>
      <c r="HCI203" s="605"/>
      <c r="HCJ203" s="605"/>
      <c r="HCK203" s="605"/>
      <c r="HCL203" s="605"/>
      <c r="HCM203" s="605"/>
      <c r="HCN203" s="605"/>
      <c r="HCO203" s="605"/>
      <c r="HCP203" s="605"/>
      <c r="HCQ203" s="605"/>
      <c r="HCR203" s="605"/>
      <c r="HCS203" s="605"/>
      <c r="HCT203" s="605"/>
      <c r="HCU203" s="605"/>
      <c r="HCV203" s="605"/>
      <c r="HCW203" s="605"/>
      <c r="HCX203" s="605"/>
      <c r="HCY203" s="605"/>
      <c r="HCZ203" s="605"/>
      <c r="HDA203" s="605"/>
      <c r="HDB203" s="605"/>
      <c r="HDC203" s="605"/>
      <c r="HDD203" s="605"/>
      <c r="HDE203" s="605"/>
      <c r="HDF203" s="605"/>
      <c r="HDG203" s="605"/>
      <c r="HDH203" s="605"/>
      <c r="HDI203" s="605"/>
      <c r="HDJ203" s="605"/>
      <c r="HDK203" s="605"/>
      <c r="HDL203" s="605"/>
      <c r="HDM203" s="605"/>
      <c r="HDN203" s="605"/>
      <c r="HDO203" s="605"/>
      <c r="HDP203" s="605"/>
      <c r="HDQ203" s="605"/>
      <c r="HDR203" s="605"/>
      <c r="HDS203" s="605"/>
      <c r="HDT203" s="605"/>
      <c r="HDU203" s="605"/>
      <c r="HDV203" s="605"/>
      <c r="HDW203" s="605"/>
      <c r="HDX203" s="605"/>
      <c r="HDY203" s="605"/>
      <c r="HDZ203" s="605"/>
      <c r="HEA203" s="605"/>
      <c r="HEB203" s="605"/>
      <c r="HEC203" s="605"/>
      <c r="HED203" s="605"/>
      <c r="HEE203" s="605"/>
      <c r="HEF203" s="605"/>
      <c r="HEG203" s="605"/>
      <c r="HEH203" s="605"/>
      <c r="HEI203" s="605"/>
      <c r="HEJ203" s="605"/>
      <c r="HEK203" s="605"/>
      <c r="HEL203" s="605"/>
      <c r="HEM203" s="605"/>
      <c r="HEN203" s="605"/>
      <c r="HEO203" s="605"/>
      <c r="HEP203" s="605"/>
      <c r="HEQ203" s="605"/>
      <c r="HER203" s="605"/>
      <c r="HES203" s="605"/>
      <c r="HET203" s="605"/>
      <c r="HEU203" s="605"/>
      <c r="HEV203" s="605"/>
      <c r="HEW203" s="605"/>
      <c r="HEX203" s="605"/>
      <c r="HEY203" s="605"/>
      <c r="HEZ203" s="605"/>
      <c r="HFA203" s="605"/>
      <c r="HFB203" s="605"/>
      <c r="HFC203" s="605"/>
      <c r="HFD203" s="605"/>
      <c r="HFE203" s="605"/>
      <c r="HFF203" s="605"/>
      <c r="HFG203" s="605"/>
      <c r="HFH203" s="605"/>
      <c r="HFI203" s="605"/>
      <c r="HFJ203" s="605"/>
      <c r="HFK203" s="605"/>
      <c r="HFL203" s="605"/>
      <c r="HFM203" s="605"/>
      <c r="HFN203" s="605"/>
      <c r="HFO203" s="605"/>
      <c r="HFP203" s="605"/>
      <c r="HFQ203" s="605"/>
      <c r="HFR203" s="605"/>
      <c r="HFS203" s="605"/>
      <c r="HFT203" s="605"/>
      <c r="HFU203" s="605"/>
      <c r="HFV203" s="605"/>
      <c r="HFW203" s="605"/>
      <c r="HFX203" s="605"/>
      <c r="HFY203" s="605"/>
      <c r="HFZ203" s="605"/>
      <c r="HGA203" s="605"/>
      <c r="HGB203" s="605"/>
      <c r="HGC203" s="605"/>
      <c r="HGD203" s="605"/>
      <c r="HGE203" s="605"/>
      <c r="HGF203" s="605"/>
      <c r="HGG203" s="605"/>
      <c r="HGH203" s="605"/>
      <c r="HGI203" s="605"/>
      <c r="HGJ203" s="605"/>
      <c r="HGK203" s="605"/>
      <c r="HGL203" s="605"/>
      <c r="HGM203" s="605"/>
      <c r="HGN203" s="605"/>
      <c r="HGO203" s="605"/>
      <c r="HGP203" s="605"/>
      <c r="HGQ203" s="605"/>
      <c r="HGR203" s="605"/>
      <c r="HGS203" s="605"/>
      <c r="HGT203" s="605"/>
      <c r="HGU203" s="605"/>
      <c r="HGV203" s="605"/>
      <c r="HGW203" s="605"/>
      <c r="HGX203" s="605"/>
      <c r="HGY203" s="605"/>
      <c r="HGZ203" s="605"/>
      <c r="HHA203" s="605"/>
      <c r="HHB203" s="605"/>
      <c r="HHC203" s="605"/>
      <c r="HHD203" s="605"/>
      <c r="HHE203" s="605"/>
      <c r="HHF203" s="605"/>
      <c r="HHG203" s="605"/>
      <c r="HHH203" s="605"/>
      <c r="HHI203" s="605"/>
      <c r="HHJ203" s="605"/>
      <c r="HHK203" s="605"/>
      <c r="HHL203" s="605"/>
      <c r="HHM203" s="605"/>
      <c r="HHN203" s="605"/>
      <c r="HHO203" s="605"/>
      <c r="HHP203" s="605"/>
      <c r="HHQ203" s="605"/>
      <c r="HHR203" s="605"/>
      <c r="HHS203" s="605"/>
      <c r="HHT203" s="605"/>
      <c r="HHU203" s="605"/>
      <c r="HHV203" s="605"/>
      <c r="HHW203" s="605"/>
      <c r="HHX203" s="605"/>
      <c r="HHY203" s="605"/>
      <c r="HHZ203" s="605"/>
      <c r="HIA203" s="605"/>
      <c r="HIB203" s="605"/>
      <c r="HIC203" s="605"/>
      <c r="HID203" s="605"/>
      <c r="HIE203" s="605"/>
      <c r="HIF203" s="605"/>
      <c r="HIG203" s="605"/>
      <c r="HIH203" s="605"/>
      <c r="HII203" s="605"/>
      <c r="HIJ203" s="605"/>
      <c r="HIK203" s="605"/>
      <c r="HIL203" s="605"/>
      <c r="HIM203" s="605"/>
      <c r="HIN203" s="605"/>
      <c r="HIO203" s="605"/>
      <c r="HIP203" s="605"/>
      <c r="HIQ203" s="605"/>
      <c r="HIR203" s="605"/>
      <c r="HIS203" s="605"/>
      <c r="HIT203" s="605"/>
      <c r="HIU203" s="605"/>
      <c r="HIV203" s="605"/>
      <c r="HIW203" s="605"/>
      <c r="HIX203" s="605"/>
      <c r="HIY203" s="605"/>
      <c r="HIZ203" s="605"/>
      <c r="HJA203" s="605"/>
      <c r="HJB203" s="605"/>
      <c r="HJC203" s="605"/>
      <c r="HJD203" s="605"/>
      <c r="HJE203" s="605"/>
      <c r="HJF203" s="605"/>
      <c r="HJG203" s="605"/>
      <c r="HJH203" s="605"/>
      <c r="HJI203" s="605"/>
      <c r="HJJ203" s="605"/>
      <c r="HJK203" s="605"/>
      <c r="HJL203" s="605"/>
      <c r="HJM203" s="605"/>
      <c r="HJN203" s="605"/>
      <c r="HJO203" s="605"/>
      <c r="HJP203" s="605"/>
      <c r="HJQ203" s="605"/>
      <c r="HJR203" s="605"/>
      <c r="HJS203" s="605"/>
      <c r="HJT203" s="605"/>
      <c r="HJU203" s="605"/>
      <c r="HJV203" s="605"/>
      <c r="HJW203" s="605"/>
      <c r="HJX203" s="605"/>
      <c r="HJY203" s="605"/>
      <c r="HJZ203" s="605"/>
      <c r="HKA203" s="605"/>
      <c r="HKB203" s="605"/>
      <c r="HKC203" s="605"/>
      <c r="HKD203" s="605"/>
      <c r="HKE203" s="605"/>
      <c r="HKF203" s="605"/>
      <c r="HKG203" s="605"/>
      <c r="HKH203" s="605"/>
      <c r="HKI203" s="605"/>
      <c r="HKJ203" s="605"/>
      <c r="HKK203" s="605"/>
      <c r="HKL203" s="605"/>
      <c r="HKM203" s="605"/>
      <c r="HKN203" s="605"/>
      <c r="HKO203" s="605"/>
      <c r="HKP203" s="605"/>
      <c r="HKQ203" s="605"/>
      <c r="HKR203" s="605"/>
      <c r="HKS203" s="605"/>
      <c r="HKT203" s="605"/>
      <c r="HKU203" s="605"/>
      <c r="HKV203" s="605"/>
      <c r="HKW203" s="605"/>
      <c r="HKX203" s="605"/>
      <c r="HKY203" s="605"/>
      <c r="HKZ203" s="605"/>
      <c r="HLA203" s="605"/>
      <c r="HLB203" s="605"/>
      <c r="HLC203" s="605"/>
      <c r="HLD203" s="605"/>
      <c r="HLE203" s="605"/>
      <c r="HLF203" s="605"/>
      <c r="HLG203" s="605"/>
      <c r="HLH203" s="605"/>
      <c r="HLI203" s="605"/>
      <c r="HLJ203" s="605"/>
      <c r="HLK203" s="605"/>
      <c r="HLL203" s="605"/>
      <c r="HLM203" s="605"/>
      <c r="HLN203" s="605"/>
      <c r="HLO203" s="605"/>
      <c r="HLP203" s="605"/>
      <c r="HLQ203" s="605"/>
      <c r="HLR203" s="605"/>
      <c r="HLS203" s="605"/>
      <c r="HLT203" s="605"/>
      <c r="HLU203" s="605"/>
      <c r="HLV203" s="605"/>
      <c r="HLW203" s="605"/>
      <c r="HLX203" s="605"/>
      <c r="HLY203" s="605"/>
      <c r="HLZ203" s="605"/>
      <c r="HMA203" s="605"/>
      <c r="HMB203" s="605"/>
      <c r="HMC203" s="605"/>
      <c r="HMD203" s="605"/>
      <c r="HME203" s="605"/>
      <c r="HMF203" s="605"/>
      <c r="HMG203" s="605"/>
      <c r="HMH203" s="605"/>
      <c r="HMI203" s="605"/>
      <c r="HMJ203" s="605"/>
      <c r="HMK203" s="605"/>
      <c r="HML203" s="605"/>
      <c r="HMM203" s="605"/>
      <c r="HMN203" s="605"/>
      <c r="HMO203" s="605"/>
      <c r="HMP203" s="605"/>
      <c r="HMQ203" s="605"/>
      <c r="HMR203" s="605"/>
      <c r="HMS203" s="605"/>
      <c r="HMT203" s="605"/>
      <c r="HMU203" s="605"/>
      <c r="HMV203" s="605"/>
      <c r="HMW203" s="605"/>
      <c r="HMX203" s="605"/>
      <c r="HMY203" s="605"/>
      <c r="HMZ203" s="605"/>
      <c r="HNA203" s="605"/>
      <c r="HNB203" s="605"/>
      <c r="HNC203" s="605"/>
      <c r="HND203" s="605"/>
      <c r="HNE203" s="605"/>
      <c r="HNF203" s="605"/>
      <c r="HNG203" s="605"/>
      <c r="HNH203" s="605"/>
      <c r="HNI203" s="605"/>
      <c r="HNJ203" s="605"/>
      <c r="HNK203" s="605"/>
      <c r="HNL203" s="605"/>
      <c r="HNM203" s="605"/>
      <c r="HNN203" s="605"/>
      <c r="HNO203" s="605"/>
      <c r="HNP203" s="605"/>
      <c r="HNQ203" s="605"/>
      <c r="HNR203" s="605"/>
      <c r="HNS203" s="605"/>
      <c r="HNT203" s="605"/>
      <c r="HNU203" s="605"/>
      <c r="HNV203" s="605"/>
      <c r="HNW203" s="605"/>
      <c r="HNX203" s="605"/>
      <c r="HNY203" s="605"/>
      <c r="HNZ203" s="605"/>
      <c r="HOA203" s="605"/>
      <c r="HOB203" s="605"/>
      <c r="HOC203" s="605"/>
      <c r="HOD203" s="605"/>
      <c r="HOE203" s="605"/>
      <c r="HOF203" s="605"/>
      <c r="HOG203" s="605"/>
      <c r="HOH203" s="605"/>
      <c r="HOI203" s="605"/>
      <c r="HOJ203" s="605"/>
      <c r="HOK203" s="605"/>
      <c r="HOL203" s="605"/>
      <c r="HOM203" s="605"/>
      <c r="HON203" s="605"/>
      <c r="HOO203" s="605"/>
      <c r="HOP203" s="605"/>
      <c r="HOQ203" s="605"/>
      <c r="HOR203" s="605"/>
      <c r="HOS203" s="605"/>
      <c r="HOT203" s="605"/>
      <c r="HOU203" s="605"/>
      <c r="HOV203" s="605"/>
      <c r="HOW203" s="605"/>
      <c r="HOX203" s="605"/>
      <c r="HOY203" s="605"/>
      <c r="HOZ203" s="605"/>
      <c r="HPA203" s="605"/>
      <c r="HPB203" s="605"/>
      <c r="HPC203" s="605"/>
      <c r="HPD203" s="605"/>
      <c r="HPE203" s="605"/>
      <c r="HPF203" s="605"/>
      <c r="HPG203" s="605"/>
      <c r="HPH203" s="605"/>
      <c r="HPI203" s="605"/>
      <c r="HPJ203" s="605"/>
      <c r="HPK203" s="605"/>
      <c r="HPL203" s="605"/>
      <c r="HPM203" s="605"/>
      <c r="HPN203" s="605"/>
      <c r="HPO203" s="605"/>
      <c r="HPP203" s="605"/>
      <c r="HPQ203" s="605"/>
      <c r="HPR203" s="605"/>
      <c r="HPS203" s="605"/>
      <c r="HPT203" s="605"/>
      <c r="HPU203" s="605"/>
      <c r="HPV203" s="605"/>
      <c r="HPW203" s="605"/>
      <c r="HPX203" s="605"/>
      <c r="HPY203" s="605"/>
      <c r="HPZ203" s="605"/>
      <c r="HQA203" s="605"/>
      <c r="HQB203" s="605"/>
      <c r="HQC203" s="605"/>
      <c r="HQD203" s="605"/>
      <c r="HQE203" s="605"/>
      <c r="HQF203" s="605"/>
      <c r="HQG203" s="605"/>
      <c r="HQH203" s="605"/>
      <c r="HQI203" s="605"/>
      <c r="HQJ203" s="605"/>
      <c r="HQK203" s="605"/>
      <c r="HQL203" s="605"/>
      <c r="HQM203" s="605"/>
      <c r="HQN203" s="605"/>
      <c r="HQO203" s="605"/>
      <c r="HQP203" s="605"/>
      <c r="HQQ203" s="605"/>
      <c r="HQR203" s="605"/>
      <c r="HQS203" s="605"/>
      <c r="HQT203" s="605"/>
      <c r="HQU203" s="605"/>
      <c r="HQV203" s="605"/>
      <c r="HQW203" s="605"/>
      <c r="HQX203" s="605"/>
      <c r="HQY203" s="605"/>
      <c r="HQZ203" s="605"/>
      <c r="HRA203" s="605"/>
      <c r="HRB203" s="605"/>
      <c r="HRC203" s="605"/>
      <c r="HRD203" s="605"/>
      <c r="HRE203" s="605"/>
      <c r="HRF203" s="605"/>
      <c r="HRG203" s="605"/>
      <c r="HRH203" s="605"/>
      <c r="HRI203" s="605"/>
      <c r="HRJ203" s="605"/>
      <c r="HRK203" s="605"/>
      <c r="HRL203" s="605"/>
      <c r="HRM203" s="605"/>
      <c r="HRN203" s="605"/>
      <c r="HRO203" s="605"/>
      <c r="HRP203" s="605"/>
      <c r="HRQ203" s="605"/>
      <c r="HRR203" s="605"/>
      <c r="HRS203" s="605"/>
      <c r="HRT203" s="605"/>
      <c r="HRU203" s="605"/>
      <c r="HRV203" s="605"/>
      <c r="HRW203" s="605"/>
      <c r="HRX203" s="605"/>
      <c r="HRY203" s="605"/>
      <c r="HRZ203" s="605"/>
      <c r="HSA203" s="605"/>
      <c r="HSB203" s="605"/>
      <c r="HSC203" s="605"/>
      <c r="HSD203" s="605"/>
      <c r="HSE203" s="605"/>
      <c r="HSF203" s="605"/>
      <c r="HSG203" s="605"/>
      <c r="HSH203" s="605"/>
      <c r="HSI203" s="605"/>
      <c r="HSJ203" s="605"/>
      <c r="HSK203" s="605"/>
      <c r="HSL203" s="605"/>
      <c r="HSM203" s="605"/>
      <c r="HSN203" s="605"/>
      <c r="HSO203" s="605"/>
      <c r="HSP203" s="605"/>
      <c r="HSQ203" s="605"/>
      <c r="HSR203" s="605"/>
      <c r="HSS203" s="605"/>
      <c r="HST203" s="605"/>
      <c r="HSU203" s="605"/>
      <c r="HSV203" s="605"/>
      <c r="HSW203" s="605"/>
      <c r="HSX203" s="605"/>
      <c r="HSY203" s="605"/>
      <c r="HSZ203" s="605"/>
      <c r="HTA203" s="605"/>
      <c r="HTB203" s="605"/>
      <c r="HTC203" s="605"/>
      <c r="HTD203" s="605"/>
      <c r="HTE203" s="605"/>
      <c r="HTF203" s="605"/>
      <c r="HTG203" s="605"/>
      <c r="HTH203" s="605"/>
      <c r="HTI203" s="605"/>
      <c r="HTJ203" s="605"/>
      <c r="HTK203" s="605"/>
      <c r="HTL203" s="605"/>
      <c r="HTM203" s="605"/>
      <c r="HTN203" s="605"/>
      <c r="HTO203" s="605"/>
      <c r="HTP203" s="605"/>
      <c r="HTQ203" s="605"/>
      <c r="HTR203" s="605"/>
      <c r="HTS203" s="605"/>
      <c r="HTT203" s="605"/>
      <c r="HTU203" s="605"/>
      <c r="HTV203" s="605"/>
      <c r="HTW203" s="605"/>
      <c r="HTX203" s="605"/>
      <c r="HTY203" s="605"/>
      <c r="HTZ203" s="605"/>
      <c r="HUA203" s="605"/>
      <c r="HUB203" s="605"/>
      <c r="HUC203" s="605"/>
      <c r="HUD203" s="605"/>
      <c r="HUE203" s="605"/>
      <c r="HUF203" s="605"/>
      <c r="HUG203" s="605"/>
      <c r="HUH203" s="605"/>
      <c r="HUI203" s="605"/>
      <c r="HUJ203" s="605"/>
      <c r="HUK203" s="605"/>
      <c r="HUL203" s="605"/>
      <c r="HUM203" s="605"/>
      <c r="HUN203" s="605"/>
      <c r="HUO203" s="605"/>
      <c r="HUP203" s="605"/>
      <c r="HUQ203" s="605"/>
      <c r="HUR203" s="605"/>
      <c r="HUS203" s="605"/>
      <c r="HUT203" s="605"/>
      <c r="HUU203" s="605"/>
      <c r="HUV203" s="605"/>
      <c r="HUW203" s="605"/>
      <c r="HUX203" s="605"/>
      <c r="HUY203" s="605"/>
      <c r="HUZ203" s="605"/>
      <c r="HVA203" s="605"/>
      <c r="HVB203" s="605"/>
      <c r="HVC203" s="605"/>
      <c r="HVD203" s="605"/>
      <c r="HVE203" s="605"/>
      <c r="HVF203" s="605"/>
      <c r="HVG203" s="605"/>
      <c r="HVH203" s="605"/>
      <c r="HVI203" s="605"/>
      <c r="HVJ203" s="605"/>
      <c r="HVK203" s="605"/>
      <c r="HVL203" s="605"/>
      <c r="HVM203" s="605"/>
      <c r="HVN203" s="605"/>
      <c r="HVO203" s="605"/>
      <c r="HVP203" s="605"/>
      <c r="HVQ203" s="605"/>
      <c r="HVR203" s="605"/>
      <c r="HVS203" s="605"/>
      <c r="HVT203" s="605"/>
      <c r="HVU203" s="605"/>
      <c r="HVV203" s="605"/>
      <c r="HVW203" s="605"/>
      <c r="HVX203" s="605"/>
      <c r="HVY203" s="605"/>
      <c r="HVZ203" s="605"/>
      <c r="HWA203" s="605"/>
      <c r="HWB203" s="605"/>
      <c r="HWC203" s="605"/>
      <c r="HWD203" s="605"/>
      <c r="HWE203" s="605"/>
      <c r="HWF203" s="605"/>
      <c r="HWG203" s="605"/>
      <c r="HWH203" s="605"/>
      <c r="HWI203" s="605"/>
      <c r="HWJ203" s="605"/>
      <c r="HWK203" s="605"/>
      <c r="HWL203" s="605"/>
      <c r="HWM203" s="605"/>
      <c r="HWN203" s="605"/>
      <c r="HWO203" s="605"/>
      <c r="HWP203" s="605"/>
      <c r="HWQ203" s="605"/>
      <c r="HWR203" s="605"/>
      <c r="HWS203" s="605"/>
      <c r="HWT203" s="605"/>
      <c r="HWU203" s="605"/>
      <c r="HWV203" s="605"/>
      <c r="HWW203" s="605"/>
      <c r="HWX203" s="605"/>
      <c r="HWY203" s="605"/>
      <c r="HWZ203" s="605"/>
      <c r="HXA203" s="605"/>
      <c r="HXB203" s="605"/>
      <c r="HXC203" s="605"/>
      <c r="HXD203" s="605"/>
      <c r="HXE203" s="605"/>
      <c r="HXF203" s="605"/>
      <c r="HXG203" s="605"/>
      <c r="HXH203" s="605"/>
      <c r="HXI203" s="605"/>
      <c r="HXJ203" s="605"/>
      <c r="HXK203" s="605"/>
      <c r="HXL203" s="605"/>
      <c r="HXM203" s="605"/>
      <c r="HXN203" s="605"/>
      <c r="HXO203" s="605"/>
      <c r="HXP203" s="605"/>
      <c r="HXQ203" s="605"/>
      <c r="HXR203" s="605"/>
      <c r="HXS203" s="605"/>
      <c r="HXT203" s="605"/>
      <c r="HXU203" s="605"/>
      <c r="HXV203" s="605"/>
      <c r="HXW203" s="605"/>
      <c r="HXX203" s="605"/>
      <c r="HXY203" s="605"/>
      <c r="HXZ203" s="605"/>
      <c r="HYA203" s="605"/>
      <c r="HYB203" s="605"/>
      <c r="HYC203" s="605"/>
      <c r="HYD203" s="605"/>
      <c r="HYE203" s="605"/>
      <c r="HYF203" s="605"/>
      <c r="HYG203" s="605"/>
      <c r="HYH203" s="605"/>
      <c r="HYI203" s="605"/>
      <c r="HYJ203" s="605"/>
      <c r="HYK203" s="605"/>
      <c r="HYL203" s="605"/>
      <c r="HYM203" s="605"/>
      <c r="HYN203" s="605"/>
      <c r="HYO203" s="605"/>
      <c r="HYP203" s="605"/>
      <c r="HYQ203" s="605"/>
      <c r="HYR203" s="605"/>
      <c r="HYS203" s="605"/>
      <c r="HYT203" s="605"/>
      <c r="HYU203" s="605"/>
      <c r="HYV203" s="605"/>
      <c r="HYW203" s="605"/>
      <c r="HYX203" s="605"/>
      <c r="HYY203" s="605"/>
      <c r="HYZ203" s="605"/>
      <c r="HZA203" s="605"/>
      <c r="HZB203" s="605"/>
      <c r="HZC203" s="605"/>
      <c r="HZD203" s="605"/>
      <c r="HZE203" s="605"/>
      <c r="HZF203" s="605"/>
      <c r="HZG203" s="605"/>
      <c r="HZH203" s="605"/>
      <c r="HZI203" s="605"/>
      <c r="HZJ203" s="605"/>
      <c r="HZK203" s="605"/>
      <c r="HZL203" s="605"/>
      <c r="HZM203" s="605"/>
      <c r="HZN203" s="605"/>
      <c r="HZO203" s="605"/>
      <c r="HZP203" s="605"/>
      <c r="HZQ203" s="605"/>
      <c r="HZR203" s="605"/>
      <c r="HZS203" s="605"/>
      <c r="HZT203" s="605"/>
      <c r="HZU203" s="605"/>
      <c r="HZV203" s="605"/>
      <c r="HZW203" s="605"/>
      <c r="HZX203" s="605"/>
      <c r="HZY203" s="605"/>
      <c r="HZZ203" s="605"/>
      <c r="IAA203" s="605"/>
      <c r="IAB203" s="605"/>
      <c r="IAC203" s="605"/>
      <c r="IAD203" s="605"/>
      <c r="IAE203" s="605"/>
      <c r="IAF203" s="605"/>
      <c r="IAG203" s="605"/>
      <c r="IAH203" s="605"/>
      <c r="IAI203" s="605"/>
      <c r="IAJ203" s="605"/>
      <c r="IAK203" s="605"/>
      <c r="IAL203" s="605"/>
      <c r="IAM203" s="605"/>
      <c r="IAN203" s="605"/>
      <c r="IAO203" s="605"/>
      <c r="IAP203" s="605"/>
      <c r="IAQ203" s="605"/>
      <c r="IAR203" s="605"/>
      <c r="IAS203" s="605"/>
      <c r="IAT203" s="605"/>
      <c r="IAU203" s="605"/>
      <c r="IAV203" s="605"/>
      <c r="IAW203" s="605"/>
      <c r="IAX203" s="605"/>
      <c r="IAY203" s="605"/>
      <c r="IAZ203" s="605"/>
      <c r="IBA203" s="605"/>
      <c r="IBB203" s="605"/>
      <c r="IBC203" s="605"/>
      <c r="IBD203" s="605"/>
      <c r="IBE203" s="605"/>
      <c r="IBF203" s="605"/>
      <c r="IBG203" s="605"/>
      <c r="IBH203" s="605"/>
      <c r="IBI203" s="605"/>
      <c r="IBJ203" s="605"/>
      <c r="IBK203" s="605"/>
      <c r="IBL203" s="605"/>
      <c r="IBM203" s="605"/>
      <c r="IBN203" s="605"/>
      <c r="IBO203" s="605"/>
      <c r="IBP203" s="605"/>
      <c r="IBQ203" s="605"/>
      <c r="IBR203" s="605"/>
      <c r="IBS203" s="605"/>
      <c r="IBT203" s="605"/>
      <c r="IBU203" s="605"/>
      <c r="IBV203" s="605"/>
      <c r="IBW203" s="605"/>
      <c r="IBX203" s="605"/>
      <c r="IBY203" s="605"/>
      <c r="IBZ203" s="605"/>
      <c r="ICA203" s="605"/>
      <c r="ICB203" s="605"/>
      <c r="ICC203" s="605"/>
      <c r="ICD203" s="605"/>
      <c r="ICE203" s="605"/>
      <c r="ICF203" s="605"/>
      <c r="ICG203" s="605"/>
      <c r="ICH203" s="605"/>
      <c r="ICI203" s="605"/>
      <c r="ICJ203" s="605"/>
      <c r="ICK203" s="605"/>
      <c r="ICL203" s="605"/>
      <c r="ICM203" s="605"/>
      <c r="ICN203" s="605"/>
      <c r="ICO203" s="605"/>
      <c r="ICP203" s="605"/>
      <c r="ICQ203" s="605"/>
      <c r="ICR203" s="605"/>
      <c r="ICS203" s="605"/>
      <c r="ICT203" s="605"/>
      <c r="ICU203" s="605"/>
      <c r="ICV203" s="605"/>
      <c r="ICW203" s="605"/>
      <c r="ICX203" s="605"/>
      <c r="ICY203" s="605"/>
      <c r="ICZ203" s="605"/>
      <c r="IDA203" s="605"/>
      <c r="IDB203" s="605"/>
      <c r="IDC203" s="605"/>
      <c r="IDD203" s="605"/>
      <c r="IDE203" s="605"/>
      <c r="IDF203" s="605"/>
      <c r="IDG203" s="605"/>
      <c r="IDH203" s="605"/>
      <c r="IDI203" s="605"/>
      <c r="IDJ203" s="605"/>
      <c r="IDK203" s="605"/>
      <c r="IDL203" s="605"/>
      <c r="IDM203" s="605"/>
      <c r="IDN203" s="605"/>
      <c r="IDO203" s="605"/>
      <c r="IDP203" s="605"/>
      <c r="IDQ203" s="605"/>
      <c r="IDR203" s="605"/>
      <c r="IDS203" s="605"/>
      <c r="IDT203" s="605"/>
      <c r="IDU203" s="605"/>
      <c r="IDV203" s="605"/>
      <c r="IDW203" s="605"/>
      <c r="IDX203" s="605"/>
      <c r="IDY203" s="605"/>
      <c r="IDZ203" s="605"/>
      <c r="IEA203" s="605"/>
      <c r="IEB203" s="605"/>
      <c r="IEC203" s="605"/>
      <c r="IED203" s="605"/>
      <c r="IEE203" s="605"/>
      <c r="IEF203" s="605"/>
      <c r="IEG203" s="605"/>
      <c r="IEH203" s="605"/>
      <c r="IEI203" s="605"/>
      <c r="IEJ203" s="605"/>
      <c r="IEK203" s="605"/>
      <c r="IEL203" s="605"/>
      <c r="IEM203" s="605"/>
      <c r="IEN203" s="605"/>
      <c r="IEO203" s="605"/>
      <c r="IEP203" s="605"/>
      <c r="IEQ203" s="605"/>
      <c r="IER203" s="605"/>
      <c r="IES203" s="605"/>
      <c r="IET203" s="605"/>
      <c r="IEU203" s="605"/>
      <c r="IEV203" s="605"/>
      <c r="IEW203" s="605"/>
      <c r="IEX203" s="605"/>
      <c r="IEY203" s="605"/>
      <c r="IEZ203" s="605"/>
      <c r="IFA203" s="605"/>
      <c r="IFB203" s="605"/>
      <c r="IFC203" s="605"/>
      <c r="IFD203" s="605"/>
      <c r="IFE203" s="605"/>
      <c r="IFF203" s="605"/>
      <c r="IFG203" s="605"/>
      <c r="IFH203" s="605"/>
      <c r="IFI203" s="605"/>
      <c r="IFJ203" s="605"/>
      <c r="IFK203" s="605"/>
      <c r="IFL203" s="605"/>
      <c r="IFM203" s="605"/>
      <c r="IFN203" s="605"/>
      <c r="IFO203" s="605"/>
      <c r="IFP203" s="605"/>
      <c r="IFQ203" s="605"/>
      <c r="IFR203" s="605"/>
      <c r="IFS203" s="605"/>
      <c r="IFT203" s="605"/>
      <c r="IFU203" s="605"/>
      <c r="IFV203" s="605"/>
      <c r="IFW203" s="605"/>
      <c r="IFX203" s="605"/>
      <c r="IFY203" s="605"/>
      <c r="IFZ203" s="605"/>
      <c r="IGA203" s="605"/>
      <c r="IGB203" s="605"/>
      <c r="IGC203" s="605"/>
      <c r="IGD203" s="605"/>
      <c r="IGE203" s="605"/>
      <c r="IGF203" s="605"/>
      <c r="IGG203" s="605"/>
      <c r="IGH203" s="605"/>
      <c r="IGI203" s="605"/>
      <c r="IGJ203" s="605"/>
      <c r="IGK203" s="605"/>
      <c r="IGL203" s="605"/>
      <c r="IGM203" s="605"/>
      <c r="IGN203" s="605"/>
      <c r="IGO203" s="605"/>
      <c r="IGP203" s="605"/>
      <c r="IGQ203" s="605"/>
      <c r="IGR203" s="605"/>
      <c r="IGS203" s="605"/>
      <c r="IGT203" s="605"/>
      <c r="IGU203" s="605"/>
      <c r="IGV203" s="605"/>
      <c r="IGW203" s="605"/>
      <c r="IGX203" s="605"/>
      <c r="IGY203" s="605"/>
      <c r="IGZ203" s="605"/>
      <c r="IHA203" s="605"/>
      <c r="IHB203" s="605"/>
      <c r="IHC203" s="605"/>
      <c r="IHD203" s="605"/>
      <c r="IHE203" s="605"/>
      <c r="IHF203" s="605"/>
      <c r="IHG203" s="605"/>
      <c r="IHH203" s="605"/>
      <c r="IHI203" s="605"/>
      <c r="IHJ203" s="605"/>
      <c r="IHK203" s="605"/>
      <c r="IHL203" s="605"/>
      <c r="IHM203" s="605"/>
      <c r="IHN203" s="605"/>
      <c r="IHO203" s="605"/>
      <c r="IHP203" s="605"/>
      <c r="IHQ203" s="605"/>
      <c r="IHR203" s="605"/>
      <c r="IHS203" s="605"/>
      <c r="IHT203" s="605"/>
      <c r="IHU203" s="605"/>
      <c r="IHV203" s="605"/>
      <c r="IHW203" s="605"/>
      <c r="IHX203" s="605"/>
      <c r="IHY203" s="605"/>
      <c r="IHZ203" s="605"/>
      <c r="IIA203" s="605"/>
      <c r="IIB203" s="605"/>
      <c r="IIC203" s="605"/>
      <c r="IID203" s="605"/>
      <c r="IIE203" s="605"/>
      <c r="IIF203" s="605"/>
      <c r="IIG203" s="605"/>
      <c r="IIH203" s="605"/>
      <c r="III203" s="605"/>
      <c r="IIJ203" s="605"/>
      <c r="IIK203" s="605"/>
      <c r="IIL203" s="605"/>
      <c r="IIM203" s="605"/>
      <c r="IIN203" s="605"/>
      <c r="IIO203" s="605"/>
      <c r="IIP203" s="605"/>
      <c r="IIQ203" s="605"/>
      <c r="IIR203" s="605"/>
      <c r="IIS203" s="605"/>
      <c r="IIT203" s="605"/>
      <c r="IIU203" s="605"/>
      <c r="IIV203" s="605"/>
      <c r="IIW203" s="605"/>
      <c r="IIX203" s="605"/>
      <c r="IIY203" s="605"/>
      <c r="IIZ203" s="605"/>
      <c r="IJA203" s="605"/>
      <c r="IJB203" s="605"/>
      <c r="IJC203" s="605"/>
      <c r="IJD203" s="605"/>
      <c r="IJE203" s="605"/>
      <c r="IJF203" s="605"/>
      <c r="IJG203" s="605"/>
      <c r="IJH203" s="605"/>
      <c r="IJI203" s="605"/>
      <c r="IJJ203" s="605"/>
      <c r="IJK203" s="605"/>
      <c r="IJL203" s="605"/>
      <c r="IJM203" s="605"/>
      <c r="IJN203" s="605"/>
      <c r="IJO203" s="605"/>
      <c r="IJP203" s="605"/>
      <c r="IJQ203" s="605"/>
      <c r="IJR203" s="605"/>
      <c r="IJS203" s="605"/>
      <c r="IJT203" s="605"/>
      <c r="IJU203" s="605"/>
      <c r="IJV203" s="605"/>
      <c r="IJW203" s="605"/>
      <c r="IJX203" s="605"/>
      <c r="IJY203" s="605"/>
      <c r="IJZ203" s="605"/>
      <c r="IKA203" s="605"/>
      <c r="IKB203" s="605"/>
      <c r="IKC203" s="605"/>
      <c r="IKD203" s="605"/>
      <c r="IKE203" s="605"/>
      <c r="IKF203" s="605"/>
      <c r="IKG203" s="605"/>
      <c r="IKH203" s="605"/>
      <c r="IKI203" s="605"/>
      <c r="IKJ203" s="605"/>
      <c r="IKK203" s="605"/>
      <c r="IKL203" s="605"/>
      <c r="IKM203" s="605"/>
      <c r="IKN203" s="605"/>
      <c r="IKO203" s="605"/>
      <c r="IKP203" s="605"/>
      <c r="IKQ203" s="605"/>
      <c r="IKR203" s="605"/>
      <c r="IKS203" s="605"/>
      <c r="IKT203" s="605"/>
      <c r="IKU203" s="605"/>
      <c r="IKV203" s="605"/>
      <c r="IKW203" s="605"/>
      <c r="IKX203" s="605"/>
      <c r="IKY203" s="605"/>
      <c r="IKZ203" s="605"/>
      <c r="ILA203" s="605"/>
      <c r="ILB203" s="605"/>
      <c r="ILC203" s="605"/>
      <c r="ILD203" s="605"/>
      <c r="ILE203" s="605"/>
      <c r="ILF203" s="605"/>
      <c r="ILG203" s="605"/>
      <c r="ILH203" s="605"/>
      <c r="ILI203" s="605"/>
      <c r="ILJ203" s="605"/>
      <c r="ILK203" s="605"/>
      <c r="ILL203" s="605"/>
      <c r="ILM203" s="605"/>
      <c r="ILN203" s="605"/>
      <c r="ILO203" s="605"/>
      <c r="ILP203" s="605"/>
      <c r="ILQ203" s="605"/>
      <c r="ILR203" s="605"/>
      <c r="ILS203" s="605"/>
      <c r="ILT203" s="605"/>
      <c r="ILU203" s="605"/>
      <c r="ILV203" s="605"/>
      <c r="ILW203" s="605"/>
      <c r="ILX203" s="605"/>
      <c r="ILY203" s="605"/>
      <c r="ILZ203" s="605"/>
      <c r="IMA203" s="605"/>
      <c r="IMB203" s="605"/>
      <c r="IMC203" s="605"/>
      <c r="IMD203" s="605"/>
      <c r="IME203" s="605"/>
      <c r="IMF203" s="605"/>
      <c r="IMG203" s="605"/>
      <c r="IMH203" s="605"/>
      <c r="IMI203" s="605"/>
      <c r="IMJ203" s="605"/>
      <c r="IMK203" s="605"/>
      <c r="IML203" s="605"/>
      <c r="IMM203" s="605"/>
      <c r="IMN203" s="605"/>
      <c r="IMO203" s="605"/>
      <c r="IMP203" s="605"/>
      <c r="IMQ203" s="605"/>
      <c r="IMR203" s="605"/>
      <c r="IMS203" s="605"/>
      <c r="IMT203" s="605"/>
      <c r="IMU203" s="605"/>
      <c r="IMV203" s="605"/>
      <c r="IMW203" s="605"/>
      <c r="IMX203" s="605"/>
      <c r="IMY203" s="605"/>
      <c r="IMZ203" s="605"/>
      <c r="INA203" s="605"/>
      <c r="INB203" s="605"/>
      <c r="INC203" s="605"/>
      <c r="IND203" s="605"/>
      <c r="INE203" s="605"/>
      <c r="INF203" s="605"/>
      <c r="ING203" s="605"/>
      <c r="INH203" s="605"/>
      <c r="INI203" s="605"/>
      <c r="INJ203" s="605"/>
      <c r="INK203" s="605"/>
      <c r="INL203" s="605"/>
      <c r="INM203" s="605"/>
      <c r="INN203" s="605"/>
      <c r="INO203" s="605"/>
      <c r="INP203" s="605"/>
      <c r="INQ203" s="605"/>
      <c r="INR203" s="605"/>
      <c r="INS203" s="605"/>
      <c r="INT203" s="605"/>
      <c r="INU203" s="605"/>
      <c r="INV203" s="605"/>
      <c r="INW203" s="605"/>
      <c r="INX203" s="605"/>
      <c r="INY203" s="605"/>
      <c r="INZ203" s="605"/>
      <c r="IOA203" s="605"/>
      <c r="IOB203" s="605"/>
      <c r="IOC203" s="605"/>
      <c r="IOD203" s="605"/>
      <c r="IOE203" s="605"/>
      <c r="IOF203" s="605"/>
      <c r="IOG203" s="605"/>
      <c r="IOH203" s="605"/>
      <c r="IOI203" s="605"/>
      <c r="IOJ203" s="605"/>
      <c r="IOK203" s="605"/>
      <c r="IOL203" s="605"/>
      <c r="IOM203" s="605"/>
      <c r="ION203" s="605"/>
      <c r="IOO203" s="605"/>
      <c r="IOP203" s="605"/>
      <c r="IOQ203" s="605"/>
      <c r="IOR203" s="605"/>
      <c r="IOS203" s="605"/>
      <c r="IOT203" s="605"/>
      <c r="IOU203" s="605"/>
      <c r="IOV203" s="605"/>
      <c r="IOW203" s="605"/>
      <c r="IOX203" s="605"/>
      <c r="IOY203" s="605"/>
      <c r="IOZ203" s="605"/>
      <c r="IPA203" s="605"/>
      <c r="IPB203" s="605"/>
      <c r="IPC203" s="605"/>
      <c r="IPD203" s="605"/>
      <c r="IPE203" s="605"/>
      <c r="IPF203" s="605"/>
      <c r="IPG203" s="605"/>
      <c r="IPH203" s="605"/>
      <c r="IPI203" s="605"/>
      <c r="IPJ203" s="605"/>
      <c r="IPK203" s="605"/>
      <c r="IPL203" s="605"/>
      <c r="IPM203" s="605"/>
      <c r="IPN203" s="605"/>
      <c r="IPO203" s="605"/>
      <c r="IPP203" s="605"/>
      <c r="IPQ203" s="605"/>
      <c r="IPR203" s="605"/>
      <c r="IPS203" s="605"/>
      <c r="IPT203" s="605"/>
      <c r="IPU203" s="605"/>
      <c r="IPV203" s="605"/>
      <c r="IPW203" s="605"/>
      <c r="IPX203" s="605"/>
      <c r="IPY203" s="605"/>
      <c r="IPZ203" s="605"/>
      <c r="IQA203" s="605"/>
      <c r="IQB203" s="605"/>
      <c r="IQC203" s="605"/>
      <c r="IQD203" s="605"/>
      <c r="IQE203" s="605"/>
      <c r="IQF203" s="605"/>
      <c r="IQG203" s="605"/>
      <c r="IQH203" s="605"/>
      <c r="IQI203" s="605"/>
      <c r="IQJ203" s="605"/>
      <c r="IQK203" s="605"/>
      <c r="IQL203" s="605"/>
      <c r="IQM203" s="605"/>
      <c r="IQN203" s="605"/>
      <c r="IQO203" s="605"/>
      <c r="IQP203" s="605"/>
      <c r="IQQ203" s="605"/>
      <c r="IQR203" s="605"/>
      <c r="IQS203" s="605"/>
      <c r="IQT203" s="605"/>
      <c r="IQU203" s="605"/>
      <c r="IQV203" s="605"/>
      <c r="IQW203" s="605"/>
      <c r="IQX203" s="605"/>
      <c r="IQY203" s="605"/>
      <c r="IQZ203" s="605"/>
      <c r="IRA203" s="605"/>
      <c r="IRB203" s="605"/>
      <c r="IRC203" s="605"/>
      <c r="IRD203" s="605"/>
      <c r="IRE203" s="605"/>
      <c r="IRF203" s="605"/>
      <c r="IRG203" s="605"/>
      <c r="IRH203" s="605"/>
      <c r="IRI203" s="605"/>
      <c r="IRJ203" s="605"/>
      <c r="IRK203" s="605"/>
      <c r="IRL203" s="605"/>
      <c r="IRM203" s="605"/>
      <c r="IRN203" s="605"/>
      <c r="IRO203" s="605"/>
      <c r="IRP203" s="605"/>
      <c r="IRQ203" s="605"/>
      <c r="IRR203" s="605"/>
      <c r="IRS203" s="605"/>
      <c r="IRT203" s="605"/>
      <c r="IRU203" s="605"/>
      <c r="IRV203" s="605"/>
      <c r="IRW203" s="605"/>
      <c r="IRX203" s="605"/>
      <c r="IRY203" s="605"/>
      <c r="IRZ203" s="605"/>
      <c r="ISA203" s="605"/>
      <c r="ISB203" s="605"/>
      <c r="ISC203" s="605"/>
      <c r="ISD203" s="605"/>
      <c r="ISE203" s="605"/>
      <c r="ISF203" s="605"/>
      <c r="ISG203" s="605"/>
      <c r="ISH203" s="605"/>
      <c r="ISI203" s="605"/>
      <c r="ISJ203" s="605"/>
      <c r="ISK203" s="605"/>
      <c r="ISL203" s="605"/>
      <c r="ISM203" s="605"/>
      <c r="ISN203" s="605"/>
      <c r="ISO203" s="605"/>
      <c r="ISP203" s="605"/>
      <c r="ISQ203" s="605"/>
      <c r="ISR203" s="605"/>
      <c r="ISS203" s="605"/>
      <c r="IST203" s="605"/>
      <c r="ISU203" s="605"/>
      <c r="ISV203" s="605"/>
      <c r="ISW203" s="605"/>
      <c r="ISX203" s="605"/>
      <c r="ISY203" s="605"/>
      <c r="ISZ203" s="605"/>
      <c r="ITA203" s="605"/>
      <c r="ITB203" s="605"/>
      <c r="ITC203" s="605"/>
      <c r="ITD203" s="605"/>
      <c r="ITE203" s="605"/>
      <c r="ITF203" s="605"/>
      <c r="ITG203" s="605"/>
      <c r="ITH203" s="605"/>
      <c r="ITI203" s="605"/>
      <c r="ITJ203" s="605"/>
      <c r="ITK203" s="605"/>
      <c r="ITL203" s="605"/>
      <c r="ITM203" s="605"/>
      <c r="ITN203" s="605"/>
      <c r="ITO203" s="605"/>
      <c r="ITP203" s="605"/>
      <c r="ITQ203" s="605"/>
      <c r="ITR203" s="605"/>
      <c r="ITS203" s="605"/>
      <c r="ITT203" s="605"/>
      <c r="ITU203" s="605"/>
      <c r="ITV203" s="605"/>
      <c r="ITW203" s="605"/>
      <c r="ITX203" s="605"/>
      <c r="ITY203" s="605"/>
      <c r="ITZ203" s="605"/>
      <c r="IUA203" s="605"/>
      <c r="IUB203" s="605"/>
      <c r="IUC203" s="605"/>
      <c r="IUD203" s="605"/>
      <c r="IUE203" s="605"/>
      <c r="IUF203" s="605"/>
      <c r="IUG203" s="605"/>
      <c r="IUH203" s="605"/>
      <c r="IUI203" s="605"/>
      <c r="IUJ203" s="605"/>
      <c r="IUK203" s="605"/>
      <c r="IUL203" s="605"/>
      <c r="IUM203" s="605"/>
      <c r="IUN203" s="605"/>
      <c r="IUO203" s="605"/>
      <c r="IUP203" s="605"/>
      <c r="IUQ203" s="605"/>
      <c r="IUR203" s="605"/>
      <c r="IUS203" s="605"/>
      <c r="IUT203" s="605"/>
      <c r="IUU203" s="605"/>
      <c r="IUV203" s="605"/>
      <c r="IUW203" s="605"/>
      <c r="IUX203" s="605"/>
      <c r="IUY203" s="605"/>
      <c r="IUZ203" s="605"/>
      <c r="IVA203" s="605"/>
      <c r="IVB203" s="605"/>
      <c r="IVC203" s="605"/>
      <c r="IVD203" s="605"/>
      <c r="IVE203" s="605"/>
      <c r="IVF203" s="605"/>
      <c r="IVG203" s="605"/>
      <c r="IVH203" s="605"/>
      <c r="IVI203" s="605"/>
      <c r="IVJ203" s="605"/>
      <c r="IVK203" s="605"/>
      <c r="IVL203" s="605"/>
      <c r="IVM203" s="605"/>
      <c r="IVN203" s="605"/>
      <c r="IVO203" s="605"/>
      <c r="IVP203" s="605"/>
      <c r="IVQ203" s="605"/>
      <c r="IVR203" s="605"/>
      <c r="IVS203" s="605"/>
      <c r="IVT203" s="605"/>
      <c r="IVU203" s="605"/>
      <c r="IVV203" s="605"/>
      <c r="IVW203" s="605"/>
      <c r="IVX203" s="605"/>
      <c r="IVY203" s="605"/>
      <c r="IVZ203" s="605"/>
      <c r="IWA203" s="605"/>
      <c r="IWB203" s="605"/>
      <c r="IWC203" s="605"/>
      <c r="IWD203" s="605"/>
      <c r="IWE203" s="605"/>
      <c r="IWF203" s="605"/>
      <c r="IWG203" s="605"/>
      <c r="IWH203" s="605"/>
      <c r="IWI203" s="605"/>
      <c r="IWJ203" s="605"/>
      <c r="IWK203" s="605"/>
      <c r="IWL203" s="605"/>
      <c r="IWM203" s="605"/>
      <c r="IWN203" s="605"/>
      <c r="IWO203" s="605"/>
      <c r="IWP203" s="605"/>
      <c r="IWQ203" s="605"/>
      <c r="IWR203" s="605"/>
      <c r="IWS203" s="605"/>
      <c r="IWT203" s="605"/>
      <c r="IWU203" s="605"/>
      <c r="IWV203" s="605"/>
      <c r="IWW203" s="605"/>
      <c r="IWX203" s="605"/>
      <c r="IWY203" s="605"/>
      <c r="IWZ203" s="605"/>
      <c r="IXA203" s="605"/>
      <c r="IXB203" s="605"/>
      <c r="IXC203" s="605"/>
      <c r="IXD203" s="605"/>
      <c r="IXE203" s="605"/>
      <c r="IXF203" s="605"/>
      <c r="IXG203" s="605"/>
      <c r="IXH203" s="605"/>
      <c r="IXI203" s="605"/>
      <c r="IXJ203" s="605"/>
      <c r="IXK203" s="605"/>
      <c r="IXL203" s="605"/>
      <c r="IXM203" s="605"/>
      <c r="IXN203" s="605"/>
      <c r="IXO203" s="605"/>
      <c r="IXP203" s="605"/>
      <c r="IXQ203" s="605"/>
      <c r="IXR203" s="605"/>
      <c r="IXS203" s="605"/>
      <c r="IXT203" s="605"/>
      <c r="IXU203" s="605"/>
      <c r="IXV203" s="605"/>
      <c r="IXW203" s="605"/>
      <c r="IXX203" s="605"/>
      <c r="IXY203" s="605"/>
      <c r="IXZ203" s="605"/>
      <c r="IYA203" s="605"/>
      <c r="IYB203" s="605"/>
      <c r="IYC203" s="605"/>
      <c r="IYD203" s="605"/>
      <c r="IYE203" s="605"/>
      <c r="IYF203" s="605"/>
      <c r="IYG203" s="605"/>
      <c r="IYH203" s="605"/>
      <c r="IYI203" s="605"/>
      <c r="IYJ203" s="605"/>
      <c r="IYK203" s="605"/>
      <c r="IYL203" s="605"/>
      <c r="IYM203" s="605"/>
      <c r="IYN203" s="605"/>
      <c r="IYO203" s="605"/>
      <c r="IYP203" s="605"/>
      <c r="IYQ203" s="605"/>
      <c r="IYR203" s="605"/>
      <c r="IYS203" s="605"/>
      <c r="IYT203" s="605"/>
      <c r="IYU203" s="605"/>
      <c r="IYV203" s="605"/>
      <c r="IYW203" s="605"/>
      <c r="IYX203" s="605"/>
      <c r="IYY203" s="605"/>
      <c r="IYZ203" s="605"/>
      <c r="IZA203" s="605"/>
      <c r="IZB203" s="605"/>
      <c r="IZC203" s="605"/>
      <c r="IZD203" s="605"/>
      <c r="IZE203" s="605"/>
      <c r="IZF203" s="605"/>
      <c r="IZG203" s="605"/>
      <c r="IZH203" s="605"/>
      <c r="IZI203" s="605"/>
      <c r="IZJ203" s="605"/>
      <c r="IZK203" s="605"/>
      <c r="IZL203" s="605"/>
      <c r="IZM203" s="605"/>
      <c r="IZN203" s="605"/>
      <c r="IZO203" s="605"/>
      <c r="IZP203" s="605"/>
      <c r="IZQ203" s="605"/>
      <c r="IZR203" s="605"/>
      <c r="IZS203" s="605"/>
      <c r="IZT203" s="605"/>
      <c r="IZU203" s="605"/>
      <c r="IZV203" s="605"/>
      <c r="IZW203" s="605"/>
      <c r="IZX203" s="605"/>
      <c r="IZY203" s="605"/>
      <c r="IZZ203" s="605"/>
      <c r="JAA203" s="605"/>
      <c r="JAB203" s="605"/>
      <c r="JAC203" s="605"/>
      <c r="JAD203" s="605"/>
      <c r="JAE203" s="605"/>
      <c r="JAF203" s="605"/>
      <c r="JAG203" s="605"/>
      <c r="JAH203" s="605"/>
      <c r="JAI203" s="605"/>
      <c r="JAJ203" s="605"/>
      <c r="JAK203" s="605"/>
      <c r="JAL203" s="605"/>
      <c r="JAM203" s="605"/>
      <c r="JAN203" s="605"/>
      <c r="JAO203" s="605"/>
      <c r="JAP203" s="605"/>
      <c r="JAQ203" s="605"/>
      <c r="JAR203" s="605"/>
      <c r="JAS203" s="605"/>
      <c r="JAT203" s="605"/>
      <c r="JAU203" s="605"/>
      <c r="JAV203" s="605"/>
      <c r="JAW203" s="605"/>
      <c r="JAX203" s="605"/>
      <c r="JAY203" s="605"/>
      <c r="JAZ203" s="605"/>
      <c r="JBA203" s="605"/>
      <c r="JBB203" s="605"/>
      <c r="JBC203" s="605"/>
      <c r="JBD203" s="605"/>
      <c r="JBE203" s="605"/>
      <c r="JBF203" s="605"/>
      <c r="JBG203" s="605"/>
      <c r="JBH203" s="605"/>
      <c r="JBI203" s="605"/>
      <c r="JBJ203" s="605"/>
      <c r="JBK203" s="605"/>
      <c r="JBL203" s="605"/>
      <c r="JBM203" s="605"/>
      <c r="JBN203" s="605"/>
      <c r="JBO203" s="605"/>
      <c r="JBP203" s="605"/>
      <c r="JBQ203" s="605"/>
      <c r="JBR203" s="605"/>
      <c r="JBS203" s="605"/>
      <c r="JBT203" s="605"/>
      <c r="JBU203" s="605"/>
      <c r="JBV203" s="605"/>
      <c r="JBW203" s="605"/>
      <c r="JBX203" s="605"/>
      <c r="JBY203" s="605"/>
      <c r="JBZ203" s="605"/>
      <c r="JCA203" s="605"/>
      <c r="JCB203" s="605"/>
      <c r="JCC203" s="605"/>
      <c r="JCD203" s="605"/>
      <c r="JCE203" s="605"/>
      <c r="JCF203" s="605"/>
      <c r="JCG203" s="605"/>
      <c r="JCH203" s="605"/>
      <c r="JCI203" s="605"/>
      <c r="JCJ203" s="605"/>
      <c r="JCK203" s="605"/>
      <c r="JCL203" s="605"/>
      <c r="JCM203" s="605"/>
      <c r="JCN203" s="605"/>
      <c r="JCO203" s="605"/>
      <c r="JCP203" s="605"/>
      <c r="JCQ203" s="605"/>
      <c r="JCR203" s="605"/>
      <c r="JCS203" s="605"/>
      <c r="JCT203" s="605"/>
      <c r="JCU203" s="605"/>
      <c r="JCV203" s="605"/>
      <c r="JCW203" s="605"/>
      <c r="JCX203" s="605"/>
      <c r="JCY203" s="605"/>
      <c r="JCZ203" s="605"/>
      <c r="JDA203" s="605"/>
      <c r="JDB203" s="605"/>
      <c r="JDC203" s="605"/>
      <c r="JDD203" s="605"/>
      <c r="JDE203" s="605"/>
      <c r="JDF203" s="605"/>
      <c r="JDG203" s="605"/>
      <c r="JDH203" s="605"/>
      <c r="JDI203" s="605"/>
      <c r="JDJ203" s="605"/>
      <c r="JDK203" s="605"/>
      <c r="JDL203" s="605"/>
      <c r="JDM203" s="605"/>
      <c r="JDN203" s="605"/>
      <c r="JDO203" s="605"/>
      <c r="JDP203" s="605"/>
      <c r="JDQ203" s="605"/>
      <c r="JDR203" s="605"/>
      <c r="JDS203" s="605"/>
      <c r="JDT203" s="605"/>
      <c r="JDU203" s="605"/>
      <c r="JDV203" s="605"/>
      <c r="JDW203" s="605"/>
      <c r="JDX203" s="605"/>
      <c r="JDY203" s="605"/>
      <c r="JDZ203" s="605"/>
      <c r="JEA203" s="605"/>
      <c r="JEB203" s="605"/>
      <c r="JEC203" s="605"/>
      <c r="JED203" s="605"/>
      <c r="JEE203" s="605"/>
      <c r="JEF203" s="605"/>
      <c r="JEG203" s="605"/>
      <c r="JEH203" s="605"/>
      <c r="JEI203" s="605"/>
      <c r="JEJ203" s="605"/>
      <c r="JEK203" s="605"/>
      <c r="JEL203" s="605"/>
      <c r="JEM203" s="605"/>
      <c r="JEN203" s="605"/>
      <c r="JEO203" s="605"/>
      <c r="JEP203" s="605"/>
      <c r="JEQ203" s="605"/>
      <c r="JER203" s="605"/>
      <c r="JES203" s="605"/>
      <c r="JET203" s="605"/>
      <c r="JEU203" s="605"/>
      <c r="JEV203" s="605"/>
      <c r="JEW203" s="605"/>
      <c r="JEX203" s="605"/>
      <c r="JEY203" s="605"/>
      <c r="JEZ203" s="605"/>
      <c r="JFA203" s="605"/>
      <c r="JFB203" s="605"/>
      <c r="JFC203" s="605"/>
      <c r="JFD203" s="605"/>
      <c r="JFE203" s="605"/>
      <c r="JFF203" s="605"/>
      <c r="JFG203" s="605"/>
      <c r="JFH203" s="605"/>
      <c r="JFI203" s="605"/>
      <c r="JFJ203" s="605"/>
      <c r="JFK203" s="605"/>
      <c r="JFL203" s="605"/>
      <c r="JFM203" s="605"/>
      <c r="JFN203" s="605"/>
      <c r="JFO203" s="605"/>
      <c r="JFP203" s="605"/>
      <c r="JFQ203" s="605"/>
      <c r="JFR203" s="605"/>
      <c r="JFS203" s="605"/>
      <c r="JFT203" s="605"/>
      <c r="JFU203" s="605"/>
      <c r="JFV203" s="605"/>
      <c r="JFW203" s="605"/>
      <c r="JFX203" s="605"/>
      <c r="JFY203" s="605"/>
      <c r="JFZ203" s="605"/>
      <c r="JGA203" s="605"/>
      <c r="JGB203" s="605"/>
      <c r="JGC203" s="605"/>
      <c r="JGD203" s="605"/>
      <c r="JGE203" s="605"/>
      <c r="JGF203" s="605"/>
      <c r="JGG203" s="605"/>
      <c r="JGH203" s="605"/>
      <c r="JGI203" s="605"/>
      <c r="JGJ203" s="605"/>
      <c r="JGK203" s="605"/>
      <c r="JGL203" s="605"/>
      <c r="JGM203" s="605"/>
      <c r="JGN203" s="605"/>
      <c r="JGO203" s="605"/>
      <c r="JGP203" s="605"/>
      <c r="JGQ203" s="605"/>
      <c r="JGR203" s="605"/>
      <c r="JGS203" s="605"/>
      <c r="JGT203" s="605"/>
      <c r="JGU203" s="605"/>
      <c r="JGV203" s="605"/>
      <c r="JGW203" s="605"/>
      <c r="JGX203" s="605"/>
      <c r="JGY203" s="605"/>
      <c r="JGZ203" s="605"/>
      <c r="JHA203" s="605"/>
      <c r="JHB203" s="605"/>
      <c r="JHC203" s="605"/>
      <c r="JHD203" s="605"/>
      <c r="JHE203" s="605"/>
      <c r="JHF203" s="605"/>
      <c r="JHG203" s="605"/>
      <c r="JHH203" s="605"/>
      <c r="JHI203" s="605"/>
      <c r="JHJ203" s="605"/>
      <c r="JHK203" s="605"/>
      <c r="JHL203" s="605"/>
      <c r="JHM203" s="605"/>
      <c r="JHN203" s="605"/>
      <c r="JHO203" s="605"/>
      <c r="JHP203" s="605"/>
      <c r="JHQ203" s="605"/>
      <c r="JHR203" s="605"/>
      <c r="JHS203" s="605"/>
      <c r="JHT203" s="605"/>
      <c r="JHU203" s="605"/>
      <c r="JHV203" s="605"/>
      <c r="JHW203" s="605"/>
      <c r="JHX203" s="605"/>
      <c r="JHY203" s="605"/>
      <c r="JHZ203" s="605"/>
      <c r="JIA203" s="605"/>
      <c r="JIB203" s="605"/>
      <c r="JIC203" s="605"/>
      <c r="JID203" s="605"/>
      <c r="JIE203" s="605"/>
      <c r="JIF203" s="605"/>
      <c r="JIG203" s="605"/>
      <c r="JIH203" s="605"/>
      <c r="JII203" s="605"/>
      <c r="JIJ203" s="605"/>
      <c r="JIK203" s="605"/>
      <c r="JIL203" s="605"/>
      <c r="JIM203" s="605"/>
      <c r="JIN203" s="605"/>
      <c r="JIO203" s="605"/>
      <c r="JIP203" s="605"/>
      <c r="JIQ203" s="605"/>
      <c r="JIR203" s="605"/>
      <c r="JIS203" s="605"/>
      <c r="JIT203" s="605"/>
      <c r="JIU203" s="605"/>
      <c r="JIV203" s="605"/>
      <c r="JIW203" s="605"/>
      <c r="JIX203" s="605"/>
      <c r="JIY203" s="605"/>
      <c r="JIZ203" s="605"/>
      <c r="JJA203" s="605"/>
      <c r="JJB203" s="605"/>
      <c r="JJC203" s="605"/>
      <c r="JJD203" s="605"/>
      <c r="JJE203" s="605"/>
      <c r="JJF203" s="605"/>
      <c r="JJG203" s="605"/>
      <c r="JJH203" s="605"/>
      <c r="JJI203" s="605"/>
      <c r="JJJ203" s="605"/>
      <c r="JJK203" s="605"/>
      <c r="JJL203" s="605"/>
      <c r="JJM203" s="605"/>
      <c r="JJN203" s="605"/>
      <c r="JJO203" s="605"/>
      <c r="JJP203" s="605"/>
      <c r="JJQ203" s="605"/>
      <c r="JJR203" s="605"/>
      <c r="JJS203" s="605"/>
      <c r="JJT203" s="605"/>
      <c r="JJU203" s="605"/>
      <c r="JJV203" s="605"/>
      <c r="JJW203" s="605"/>
      <c r="JJX203" s="605"/>
      <c r="JJY203" s="605"/>
      <c r="JJZ203" s="605"/>
      <c r="JKA203" s="605"/>
      <c r="JKB203" s="605"/>
      <c r="JKC203" s="605"/>
      <c r="JKD203" s="605"/>
      <c r="JKE203" s="605"/>
      <c r="JKF203" s="605"/>
      <c r="JKG203" s="605"/>
      <c r="JKH203" s="605"/>
      <c r="JKI203" s="605"/>
      <c r="JKJ203" s="605"/>
      <c r="JKK203" s="605"/>
      <c r="JKL203" s="605"/>
      <c r="JKM203" s="605"/>
      <c r="JKN203" s="605"/>
      <c r="JKO203" s="605"/>
      <c r="JKP203" s="605"/>
      <c r="JKQ203" s="605"/>
      <c r="JKR203" s="605"/>
      <c r="JKS203" s="605"/>
      <c r="JKT203" s="605"/>
      <c r="JKU203" s="605"/>
      <c r="JKV203" s="605"/>
      <c r="JKW203" s="605"/>
      <c r="JKX203" s="605"/>
      <c r="JKY203" s="605"/>
      <c r="JKZ203" s="605"/>
      <c r="JLA203" s="605"/>
      <c r="JLB203" s="605"/>
      <c r="JLC203" s="605"/>
      <c r="JLD203" s="605"/>
      <c r="JLE203" s="605"/>
      <c r="JLF203" s="605"/>
      <c r="JLG203" s="605"/>
      <c r="JLH203" s="605"/>
      <c r="JLI203" s="605"/>
      <c r="JLJ203" s="605"/>
      <c r="JLK203" s="605"/>
      <c r="JLL203" s="605"/>
      <c r="JLM203" s="605"/>
      <c r="JLN203" s="605"/>
      <c r="JLO203" s="605"/>
      <c r="JLP203" s="605"/>
      <c r="JLQ203" s="605"/>
      <c r="JLR203" s="605"/>
      <c r="JLS203" s="605"/>
      <c r="JLT203" s="605"/>
      <c r="JLU203" s="605"/>
      <c r="JLV203" s="605"/>
      <c r="JLW203" s="605"/>
      <c r="JLX203" s="605"/>
      <c r="JLY203" s="605"/>
      <c r="JLZ203" s="605"/>
      <c r="JMA203" s="605"/>
      <c r="JMB203" s="605"/>
      <c r="JMC203" s="605"/>
      <c r="JMD203" s="605"/>
      <c r="JME203" s="605"/>
      <c r="JMF203" s="605"/>
      <c r="JMG203" s="605"/>
      <c r="JMH203" s="605"/>
      <c r="JMI203" s="605"/>
      <c r="JMJ203" s="605"/>
      <c r="JMK203" s="605"/>
      <c r="JML203" s="605"/>
      <c r="JMM203" s="605"/>
      <c r="JMN203" s="605"/>
      <c r="JMO203" s="605"/>
      <c r="JMP203" s="605"/>
      <c r="JMQ203" s="605"/>
      <c r="JMR203" s="605"/>
      <c r="JMS203" s="605"/>
      <c r="JMT203" s="605"/>
      <c r="JMU203" s="605"/>
      <c r="JMV203" s="605"/>
      <c r="JMW203" s="605"/>
      <c r="JMX203" s="605"/>
      <c r="JMY203" s="605"/>
      <c r="JMZ203" s="605"/>
      <c r="JNA203" s="605"/>
      <c r="JNB203" s="605"/>
      <c r="JNC203" s="605"/>
      <c r="JND203" s="605"/>
      <c r="JNE203" s="605"/>
      <c r="JNF203" s="605"/>
      <c r="JNG203" s="605"/>
      <c r="JNH203" s="605"/>
      <c r="JNI203" s="605"/>
      <c r="JNJ203" s="605"/>
      <c r="JNK203" s="605"/>
      <c r="JNL203" s="605"/>
      <c r="JNM203" s="605"/>
      <c r="JNN203" s="605"/>
      <c r="JNO203" s="605"/>
      <c r="JNP203" s="605"/>
      <c r="JNQ203" s="605"/>
      <c r="JNR203" s="605"/>
      <c r="JNS203" s="605"/>
      <c r="JNT203" s="605"/>
      <c r="JNU203" s="605"/>
      <c r="JNV203" s="605"/>
      <c r="JNW203" s="605"/>
      <c r="JNX203" s="605"/>
      <c r="JNY203" s="605"/>
      <c r="JNZ203" s="605"/>
      <c r="JOA203" s="605"/>
      <c r="JOB203" s="605"/>
      <c r="JOC203" s="605"/>
      <c r="JOD203" s="605"/>
      <c r="JOE203" s="605"/>
      <c r="JOF203" s="605"/>
      <c r="JOG203" s="605"/>
      <c r="JOH203" s="605"/>
      <c r="JOI203" s="605"/>
      <c r="JOJ203" s="605"/>
      <c r="JOK203" s="605"/>
      <c r="JOL203" s="605"/>
      <c r="JOM203" s="605"/>
      <c r="JON203" s="605"/>
      <c r="JOO203" s="605"/>
      <c r="JOP203" s="605"/>
      <c r="JOQ203" s="605"/>
      <c r="JOR203" s="605"/>
      <c r="JOS203" s="605"/>
      <c r="JOT203" s="605"/>
      <c r="JOU203" s="605"/>
      <c r="JOV203" s="605"/>
      <c r="JOW203" s="605"/>
      <c r="JOX203" s="605"/>
      <c r="JOY203" s="605"/>
      <c r="JOZ203" s="605"/>
      <c r="JPA203" s="605"/>
      <c r="JPB203" s="605"/>
      <c r="JPC203" s="605"/>
      <c r="JPD203" s="605"/>
      <c r="JPE203" s="605"/>
      <c r="JPF203" s="605"/>
      <c r="JPG203" s="605"/>
      <c r="JPH203" s="605"/>
      <c r="JPI203" s="605"/>
      <c r="JPJ203" s="605"/>
      <c r="JPK203" s="605"/>
      <c r="JPL203" s="605"/>
      <c r="JPM203" s="605"/>
      <c r="JPN203" s="605"/>
      <c r="JPO203" s="605"/>
      <c r="JPP203" s="605"/>
      <c r="JPQ203" s="605"/>
      <c r="JPR203" s="605"/>
      <c r="JPS203" s="605"/>
      <c r="JPT203" s="605"/>
      <c r="JPU203" s="605"/>
      <c r="JPV203" s="605"/>
      <c r="JPW203" s="605"/>
      <c r="JPX203" s="605"/>
      <c r="JPY203" s="605"/>
      <c r="JPZ203" s="605"/>
      <c r="JQA203" s="605"/>
      <c r="JQB203" s="605"/>
      <c r="JQC203" s="605"/>
      <c r="JQD203" s="605"/>
      <c r="JQE203" s="605"/>
      <c r="JQF203" s="605"/>
      <c r="JQG203" s="605"/>
      <c r="JQH203" s="605"/>
      <c r="JQI203" s="605"/>
      <c r="JQJ203" s="605"/>
      <c r="JQK203" s="605"/>
      <c r="JQL203" s="605"/>
      <c r="JQM203" s="605"/>
      <c r="JQN203" s="605"/>
      <c r="JQO203" s="605"/>
      <c r="JQP203" s="605"/>
      <c r="JQQ203" s="605"/>
      <c r="JQR203" s="605"/>
      <c r="JQS203" s="605"/>
      <c r="JQT203" s="605"/>
      <c r="JQU203" s="605"/>
      <c r="JQV203" s="605"/>
      <c r="JQW203" s="605"/>
      <c r="JQX203" s="605"/>
      <c r="JQY203" s="605"/>
      <c r="JQZ203" s="605"/>
      <c r="JRA203" s="605"/>
      <c r="JRB203" s="605"/>
      <c r="JRC203" s="605"/>
      <c r="JRD203" s="605"/>
      <c r="JRE203" s="605"/>
      <c r="JRF203" s="605"/>
      <c r="JRG203" s="605"/>
      <c r="JRH203" s="605"/>
      <c r="JRI203" s="605"/>
      <c r="JRJ203" s="605"/>
      <c r="JRK203" s="605"/>
      <c r="JRL203" s="605"/>
      <c r="JRM203" s="605"/>
      <c r="JRN203" s="605"/>
      <c r="JRO203" s="605"/>
      <c r="JRP203" s="605"/>
      <c r="JRQ203" s="605"/>
      <c r="JRR203" s="605"/>
      <c r="JRS203" s="605"/>
      <c r="JRT203" s="605"/>
      <c r="JRU203" s="605"/>
      <c r="JRV203" s="605"/>
      <c r="JRW203" s="605"/>
      <c r="JRX203" s="605"/>
      <c r="JRY203" s="605"/>
      <c r="JRZ203" s="605"/>
      <c r="JSA203" s="605"/>
      <c r="JSB203" s="605"/>
      <c r="JSC203" s="605"/>
      <c r="JSD203" s="605"/>
      <c r="JSE203" s="605"/>
      <c r="JSF203" s="605"/>
      <c r="JSG203" s="605"/>
      <c r="JSH203" s="605"/>
      <c r="JSI203" s="605"/>
      <c r="JSJ203" s="605"/>
      <c r="JSK203" s="605"/>
      <c r="JSL203" s="605"/>
      <c r="JSM203" s="605"/>
      <c r="JSN203" s="605"/>
      <c r="JSO203" s="605"/>
      <c r="JSP203" s="605"/>
      <c r="JSQ203" s="605"/>
      <c r="JSR203" s="605"/>
      <c r="JSS203" s="605"/>
      <c r="JST203" s="605"/>
      <c r="JSU203" s="605"/>
      <c r="JSV203" s="605"/>
      <c r="JSW203" s="605"/>
      <c r="JSX203" s="605"/>
      <c r="JSY203" s="605"/>
      <c r="JSZ203" s="605"/>
      <c r="JTA203" s="605"/>
      <c r="JTB203" s="605"/>
      <c r="JTC203" s="605"/>
      <c r="JTD203" s="605"/>
      <c r="JTE203" s="605"/>
      <c r="JTF203" s="605"/>
      <c r="JTG203" s="605"/>
      <c r="JTH203" s="605"/>
      <c r="JTI203" s="605"/>
      <c r="JTJ203" s="605"/>
      <c r="JTK203" s="605"/>
      <c r="JTL203" s="605"/>
      <c r="JTM203" s="605"/>
      <c r="JTN203" s="605"/>
      <c r="JTO203" s="605"/>
      <c r="JTP203" s="605"/>
      <c r="JTQ203" s="605"/>
      <c r="JTR203" s="605"/>
      <c r="JTS203" s="605"/>
      <c r="JTT203" s="605"/>
      <c r="JTU203" s="605"/>
      <c r="JTV203" s="605"/>
      <c r="JTW203" s="605"/>
      <c r="JTX203" s="605"/>
      <c r="JTY203" s="605"/>
      <c r="JTZ203" s="605"/>
      <c r="JUA203" s="605"/>
      <c r="JUB203" s="605"/>
      <c r="JUC203" s="605"/>
      <c r="JUD203" s="605"/>
      <c r="JUE203" s="605"/>
      <c r="JUF203" s="605"/>
      <c r="JUG203" s="605"/>
      <c r="JUH203" s="605"/>
      <c r="JUI203" s="605"/>
      <c r="JUJ203" s="605"/>
      <c r="JUK203" s="605"/>
      <c r="JUL203" s="605"/>
      <c r="JUM203" s="605"/>
      <c r="JUN203" s="605"/>
      <c r="JUO203" s="605"/>
      <c r="JUP203" s="605"/>
      <c r="JUQ203" s="605"/>
      <c r="JUR203" s="605"/>
      <c r="JUS203" s="605"/>
      <c r="JUT203" s="605"/>
      <c r="JUU203" s="605"/>
      <c r="JUV203" s="605"/>
      <c r="JUW203" s="605"/>
      <c r="JUX203" s="605"/>
      <c r="JUY203" s="605"/>
      <c r="JUZ203" s="605"/>
      <c r="JVA203" s="605"/>
      <c r="JVB203" s="605"/>
      <c r="JVC203" s="605"/>
      <c r="JVD203" s="605"/>
      <c r="JVE203" s="605"/>
      <c r="JVF203" s="605"/>
      <c r="JVG203" s="605"/>
      <c r="JVH203" s="605"/>
      <c r="JVI203" s="605"/>
      <c r="JVJ203" s="605"/>
      <c r="JVK203" s="605"/>
      <c r="JVL203" s="605"/>
      <c r="JVM203" s="605"/>
      <c r="JVN203" s="605"/>
      <c r="JVO203" s="605"/>
      <c r="JVP203" s="605"/>
      <c r="JVQ203" s="605"/>
      <c r="JVR203" s="605"/>
      <c r="JVS203" s="605"/>
      <c r="JVT203" s="605"/>
      <c r="JVU203" s="605"/>
      <c r="JVV203" s="605"/>
      <c r="JVW203" s="605"/>
      <c r="JVX203" s="605"/>
      <c r="JVY203" s="605"/>
      <c r="JVZ203" s="605"/>
      <c r="JWA203" s="605"/>
      <c r="JWB203" s="605"/>
      <c r="JWC203" s="605"/>
      <c r="JWD203" s="605"/>
      <c r="JWE203" s="605"/>
      <c r="JWF203" s="605"/>
      <c r="JWG203" s="605"/>
      <c r="JWH203" s="605"/>
      <c r="JWI203" s="605"/>
      <c r="JWJ203" s="605"/>
      <c r="JWK203" s="605"/>
      <c r="JWL203" s="605"/>
      <c r="JWM203" s="605"/>
      <c r="JWN203" s="605"/>
      <c r="JWO203" s="605"/>
      <c r="JWP203" s="605"/>
      <c r="JWQ203" s="605"/>
      <c r="JWR203" s="605"/>
      <c r="JWS203" s="605"/>
      <c r="JWT203" s="605"/>
      <c r="JWU203" s="605"/>
      <c r="JWV203" s="605"/>
      <c r="JWW203" s="605"/>
      <c r="JWX203" s="605"/>
      <c r="JWY203" s="605"/>
      <c r="JWZ203" s="605"/>
      <c r="JXA203" s="605"/>
      <c r="JXB203" s="605"/>
      <c r="JXC203" s="605"/>
      <c r="JXD203" s="605"/>
      <c r="JXE203" s="605"/>
      <c r="JXF203" s="605"/>
      <c r="JXG203" s="605"/>
      <c r="JXH203" s="605"/>
      <c r="JXI203" s="605"/>
      <c r="JXJ203" s="605"/>
      <c r="JXK203" s="605"/>
      <c r="JXL203" s="605"/>
      <c r="JXM203" s="605"/>
      <c r="JXN203" s="605"/>
      <c r="JXO203" s="605"/>
      <c r="JXP203" s="605"/>
      <c r="JXQ203" s="605"/>
      <c r="JXR203" s="605"/>
      <c r="JXS203" s="605"/>
      <c r="JXT203" s="605"/>
      <c r="JXU203" s="605"/>
      <c r="JXV203" s="605"/>
      <c r="JXW203" s="605"/>
      <c r="JXX203" s="605"/>
      <c r="JXY203" s="605"/>
      <c r="JXZ203" s="605"/>
      <c r="JYA203" s="605"/>
      <c r="JYB203" s="605"/>
      <c r="JYC203" s="605"/>
      <c r="JYD203" s="605"/>
      <c r="JYE203" s="605"/>
      <c r="JYF203" s="605"/>
      <c r="JYG203" s="605"/>
      <c r="JYH203" s="605"/>
      <c r="JYI203" s="605"/>
      <c r="JYJ203" s="605"/>
      <c r="JYK203" s="605"/>
      <c r="JYL203" s="605"/>
      <c r="JYM203" s="605"/>
      <c r="JYN203" s="605"/>
      <c r="JYO203" s="605"/>
      <c r="JYP203" s="605"/>
      <c r="JYQ203" s="605"/>
      <c r="JYR203" s="605"/>
      <c r="JYS203" s="605"/>
      <c r="JYT203" s="605"/>
      <c r="JYU203" s="605"/>
      <c r="JYV203" s="605"/>
      <c r="JYW203" s="605"/>
      <c r="JYX203" s="605"/>
      <c r="JYY203" s="605"/>
      <c r="JYZ203" s="605"/>
      <c r="JZA203" s="605"/>
      <c r="JZB203" s="605"/>
      <c r="JZC203" s="605"/>
      <c r="JZD203" s="605"/>
      <c r="JZE203" s="605"/>
      <c r="JZF203" s="605"/>
      <c r="JZG203" s="605"/>
      <c r="JZH203" s="605"/>
      <c r="JZI203" s="605"/>
      <c r="JZJ203" s="605"/>
      <c r="JZK203" s="605"/>
      <c r="JZL203" s="605"/>
      <c r="JZM203" s="605"/>
      <c r="JZN203" s="605"/>
      <c r="JZO203" s="605"/>
      <c r="JZP203" s="605"/>
      <c r="JZQ203" s="605"/>
      <c r="JZR203" s="605"/>
      <c r="JZS203" s="605"/>
      <c r="JZT203" s="605"/>
      <c r="JZU203" s="605"/>
      <c r="JZV203" s="605"/>
      <c r="JZW203" s="605"/>
      <c r="JZX203" s="605"/>
      <c r="JZY203" s="605"/>
      <c r="JZZ203" s="605"/>
      <c r="KAA203" s="605"/>
      <c r="KAB203" s="605"/>
      <c r="KAC203" s="605"/>
      <c r="KAD203" s="605"/>
      <c r="KAE203" s="605"/>
      <c r="KAF203" s="605"/>
      <c r="KAG203" s="605"/>
      <c r="KAH203" s="605"/>
      <c r="KAI203" s="605"/>
      <c r="KAJ203" s="605"/>
      <c r="KAK203" s="605"/>
      <c r="KAL203" s="605"/>
      <c r="KAM203" s="605"/>
      <c r="KAN203" s="605"/>
      <c r="KAO203" s="605"/>
      <c r="KAP203" s="605"/>
      <c r="KAQ203" s="605"/>
      <c r="KAR203" s="605"/>
      <c r="KAS203" s="605"/>
      <c r="KAT203" s="605"/>
      <c r="KAU203" s="605"/>
      <c r="KAV203" s="605"/>
      <c r="KAW203" s="605"/>
      <c r="KAX203" s="605"/>
      <c r="KAY203" s="605"/>
      <c r="KAZ203" s="605"/>
      <c r="KBA203" s="605"/>
      <c r="KBB203" s="605"/>
      <c r="KBC203" s="605"/>
      <c r="KBD203" s="605"/>
      <c r="KBE203" s="605"/>
      <c r="KBF203" s="605"/>
      <c r="KBG203" s="605"/>
      <c r="KBH203" s="605"/>
      <c r="KBI203" s="605"/>
      <c r="KBJ203" s="605"/>
      <c r="KBK203" s="605"/>
      <c r="KBL203" s="605"/>
      <c r="KBM203" s="605"/>
      <c r="KBN203" s="605"/>
      <c r="KBO203" s="605"/>
      <c r="KBP203" s="605"/>
      <c r="KBQ203" s="605"/>
      <c r="KBR203" s="605"/>
      <c r="KBS203" s="605"/>
      <c r="KBT203" s="605"/>
      <c r="KBU203" s="605"/>
      <c r="KBV203" s="605"/>
      <c r="KBW203" s="605"/>
      <c r="KBX203" s="605"/>
      <c r="KBY203" s="605"/>
      <c r="KBZ203" s="605"/>
      <c r="KCA203" s="605"/>
      <c r="KCB203" s="605"/>
      <c r="KCC203" s="605"/>
      <c r="KCD203" s="605"/>
      <c r="KCE203" s="605"/>
      <c r="KCF203" s="605"/>
      <c r="KCG203" s="605"/>
      <c r="KCH203" s="605"/>
      <c r="KCI203" s="605"/>
      <c r="KCJ203" s="605"/>
      <c r="KCK203" s="605"/>
      <c r="KCL203" s="605"/>
      <c r="KCM203" s="605"/>
      <c r="KCN203" s="605"/>
      <c r="KCO203" s="605"/>
      <c r="KCP203" s="605"/>
      <c r="KCQ203" s="605"/>
      <c r="KCR203" s="605"/>
      <c r="KCS203" s="605"/>
      <c r="KCT203" s="605"/>
      <c r="KCU203" s="605"/>
      <c r="KCV203" s="605"/>
      <c r="KCW203" s="605"/>
      <c r="KCX203" s="605"/>
      <c r="KCY203" s="605"/>
      <c r="KCZ203" s="605"/>
      <c r="KDA203" s="605"/>
      <c r="KDB203" s="605"/>
      <c r="KDC203" s="605"/>
      <c r="KDD203" s="605"/>
      <c r="KDE203" s="605"/>
      <c r="KDF203" s="605"/>
      <c r="KDG203" s="605"/>
      <c r="KDH203" s="605"/>
      <c r="KDI203" s="605"/>
      <c r="KDJ203" s="605"/>
      <c r="KDK203" s="605"/>
      <c r="KDL203" s="605"/>
      <c r="KDM203" s="605"/>
      <c r="KDN203" s="605"/>
      <c r="KDO203" s="605"/>
      <c r="KDP203" s="605"/>
      <c r="KDQ203" s="605"/>
      <c r="KDR203" s="605"/>
      <c r="KDS203" s="605"/>
      <c r="KDT203" s="605"/>
      <c r="KDU203" s="605"/>
      <c r="KDV203" s="605"/>
      <c r="KDW203" s="605"/>
      <c r="KDX203" s="605"/>
      <c r="KDY203" s="605"/>
      <c r="KDZ203" s="605"/>
      <c r="KEA203" s="605"/>
      <c r="KEB203" s="605"/>
      <c r="KEC203" s="605"/>
      <c r="KED203" s="605"/>
      <c r="KEE203" s="605"/>
      <c r="KEF203" s="605"/>
      <c r="KEG203" s="605"/>
      <c r="KEH203" s="605"/>
      <c r="KEI203" s="605"/>
      <c r="KEJ203" s="605"/>
      <c r="KEK203" s="605"/>
      <c r="KEL203" s="605"/>
      <c r="KEM203" s="605"/>
      <c r="KEN203" s="605"/>
      <c r="KEO203" s="605"/>
      <c r="KEP203" s="605"/>
      <c r="KEQ203" s="605"/>
      <c r="KER203" s="605"/>
      <c r="KES203" s="605"/>
      <c r="KET203" s="605"/>
      <c r="KEU203" s="605"/>
      <c r="KEV203" s="605"/>
      <c r="KEW203" s="605"/>
      <c r="KEX203" s="605"/>
      <c r="KEY203" s="605"/>
      <c r="KEZ203" s="605"/>
      <c r="KFA203" s="605"/>
      <c r="KFB203" s="605"/>
      <c r="KFC203" s="605"/>
      <c r="KFD203" s="605"/>
      <c r="KFE203" s="605"/>
      <c r="KFF203" s="605"/>
      <c r="KFG203" s="605"/>
      <c r="KFH203" s="605"/>
      <c r="KFI203" s="605"/>
      <c r="KFJ203" s="605"/>
      <c r="KFK203" s="605"/>
      <c r="KFL203" s="605"/>
      <c r="KFM203" s="605"/>
      <c r="KFN203" s="605"/>
      <c r="KFO203" s="605"/>
      <c r="KFP203" s="605"/>
      <c r="KFQ203" s="605"/>
      <c r="KFR203" s="605"/>
      <c r="KFS203" s="605"/>
      <c r="KFT203" s="605"/>
      <c r="KFU203" s="605"/>
      <c r="KFV203" s="605"/>
      <c r="KFW203" s="605"/>
      <c r="KFX203" s="605"/>
      <c r="KFY203" s="605"/>
      <c r="KFZ203" s="605"/>
      <c r="KGA203" s="605"/>
      <c r="KGB203" s="605"/>
      <c r="KGC203" s="605"/>
      <c r="KGD203" s="605"/>
      <c r="KGE203" s="605"/>
      <c r="KGF203" s="605"/>
      <c r="KGG203" s="605"/>
      <c r="KGH203" s="605"/>
      <c r="KGI203" s="605"/>
      <c r="KGJ203" s="605"/>
      <c r="KGK203" s="605"/>
      <c r="KGL203" s="605"/>
      <c r="KGM203" s="605"/>
      <c r="KGN203" s="605"/>
      <c r="KGO203" s="605"/>
      <c r="KGP203" s="605"/>
      <c r="KGQ203" s="605"/>
      <c r="KGR203" s="605"/>
      <c r="KGS203" s="605"/>
      <c r="KGT203" s="605"/>
      <c r="KGU203" s="605"/>
      <c r="KGV203" s="605"/>
      <c r="KGW203" s="605"/>
      <c r="KGX203" s="605"/>
      <c r="KGY203" s="605"/>
      <c r="KGZ203" s="605"/>
      <c r="KHA203" s="605"/>
      <c r="KHB203" s="605"/>
      <c r="KHC203" s="605"/>
      <c r="KHD203" s="605"/>
      <c r="KHE203" s="605"/>
      <c r="KHF203" s="605"/>
      <c r="KHG203" s="605"/>
      <c r="KHH203" s="605"/>
      <c r="KHI203" s="605"/>
      <c r="KHJ203" s="605"/>
      <c r="KHK203" s="605"/>
      <c r="KHL203" s="605"/>
      <c r="KHM203" s="605"/>
      <c r="KHN203" s="605"/>
      <c r="KHO203" s="605"/>
      <c r="KHP203" s="605"/>
      <c r="KHQ203" s="605"/>
      <c r="KHR203" s="605"/>
      <c r="KHS203" s="605"/>
      <c r="KHT203" s="605"/>
      <c r="KHU203" s="605"/>
      <c r="KHV203" s="605"/>
      <c r="KHW203" s="605"/>
      <c r="KHX203" s="605"/>
      <c r="KHY203" s="605"/>
      <c r="KHZ203" s="605"/>
      <c r="KIA203" s="605"/>
      <c r="KIB203" s="605"/>
      <c r="KIC203" s="605"/>
      <c r="KID203" s="605"/>
      <c r="KIE203" s="605"/>
      <c r="KIF203" s="605"/>
      <c r="KIG203" s="605"/>
      <c r="KIH203" s="605"/>
      <c r="KII203" s="605"/>
      <c r="KIJ203" s="605"/>
      <c r="KIK203" s="605"/>
      <c r="KIL203" s="605"/>
      <c r="KIM203" s="605"/>
      <c r="KIN203" s="605"/>
      <c r="KIO203" s="605"/>
      <c r="KIP203" s="605"/>
      <c r="KIQ203" s="605"/>
      <c r="KIR203" s="605"/>
      <c r="KIS203" s="605"/>
      <c r="KIT203" s="605"/>
      <c r="KIU203" s="605"/>
      <c r="KIV203" s="605"/>
      <c r="KIW203" s="605"/>
      <c r="KIX203" s="605"/>
      <c r="KIY203" s="605"/>
      <c r="KIZ203" s="605"/>
      <c r="KJA203" s="605"/>
      <c r="KJB203" s="605"/>
      <c r="KJC203" s="605"/>
      <c r="KJD203" s="605"/>
      <c r="KJE203" s="605"/>
      <c r="KJF203" s="605"/>
      <c r="KJG203" s="605"/>
      <c r="KJH203" s="605"/>
      <c r="KJI203" s="605"/>
      <c r="KJJ203" s="605"/>
      <c r="KJK203" s="605"/>
      <c r="KJL203" s="605"/>
      <c r="KJM203" s="605"/>
      <c r="KJN203" s="605"/>
      <c r="KJO203" s="605"/>
      <c r="KJP203" s="605"/>
      <c r="KJQ203" s="605"/>
      <c r="KJR203" s="605"/>
      <c r="KJS203" s="605"/>
      <c r="KJT203" s="605"/>
      <c r="KJU203" s="605"/>
      <c r="KJV203" s="605"/>
      <c r="KJW203" s="605"/>
      <c r="KJX203" s="605"/>
      <c r="KJY203" s="605"/>
      <c r="KJZ203" s="605"/>
      <c r="KKA203" s="605"/>
      <c r="KKB203" s="605"/>
      <c r="KKC203" s="605"/>
      <c r="KKD203" s="605"/>
      <c r="KKE203" s="605"/>
      <c r="KKF203" s="605"/>
      <c r="KKG203" s="605"/>
      <c r="KKH203" s="605"/>
      <c r="KKI203" s="605"/>
      <c r="KKJ203" s="605"/>
      <c r="KKK203" s="605"/>
      <c r="KKL203" s="605"/>
      <c r="KKM203" s="605"/>
      <c r="KKN203" s="605"/>
      <c r="KKO203" s="605"/>
      <c r="KKP203" s="605"/>
      <c r="KKQ203" s="605"/>
      <c r="KKR203" s="605"/>
      <c r="KKS203" s="605"/>
      <c r="KKT203" s="605"/>
      <c r="KKU203" s="605"/>
      <c r="KKV203" s="605"/>
      <c r="KKW203" s="605"/>
      <c r="KKX203" s="605"/>
      <c r="KKY203" s="605"/>
      <c r="KKZ203" s="605"/>
      <c r="KLA203" s="605"/>
      <c r="KLB203" s="605"/>
      <c r="KLC203" s="605"/>
      <c r="KLD203" s="605"/>
      <c r="KLE203" s="605"/>
      <c r="KLF203" s="605"/>
      <c r="KLG203" s="605"/>
      <c r="KLH203" s="605"/>
      <c r="KLI203" s="605"/>
      <c r="KLJ203" s="605"/>
      <c r="KLK203" s="605"/>
      <c r="KLL203" s="605"/>
      <c r="KLM203" s="605"/>
      <c r="KLN203" s="605"/>
      <c r="KLO203" s="605"/>
      <c r="KLP203" s="605"/>
      <c r="KLQ203" s="605"/>
      <c r="KLR203" s="605"/>
      <c r="KLS203" s="605"/>
      <c r="KLT203" s="605"/>
      <c r="KLU203" s="605"/>
      <c r="KLV203" s="605"/>
      <c r="KLW203" s="605"/>
      <c r="KLX203" s="605"/>
      <c r="KLY203" s="605"/>
      <c r="KLZ203" s="605"/>
      <c r="KMA203" s="605"/>
      <c r="KMB203" s="605"/>
      <c r="KMC203" s="605"/>
      <c r="KMD203" s="605"/>
      <c r="KME203" s="605"/>
      <c r="KMF203" s="605"/>
      <c r="KMG203" s="605"/>
      <c r="KMH203" s="605"/>
      <c r="KMI203" s="605"/>
      <c r="KMJ203" s="605"/>
      <c r="KMK203" s="605"/>
      <c r="KML203" s="605"/>
      <c r="KMM203" s="605"/>
      <c r="KMN203" s="605"/>
      <c r="KMO203" s="605"/>
      <c r="KMP203" s="605"/>
      <c r="KMQ203" s="605"/>
      <c r="KMR203" s="605"/>
      <c r="KMS203" s="605"/>
      <c r="KMT203" s="605"/>
      <c r="KMU203" s="605"/>
      <c r="KMV203" s="605"/>
      <c r="KMW203" s="605"/>
      <c r="KMX203" s="605"/>
      <c r="KMY203" s="605"/>
      <c r="KMZ203" s="605"/>
      <c r="KNA203" s="605"/>
      <c r="KNB203" s="605"/>
      <c r="KNC203" s="605"/>
      <c r="KND203" s="605"/>
      <c r="KNE203" s="605"/>
      <c r="KNF203" s="605"/>
      <c r="KNG203" s="605"/>
      <c r="KNH203" s="605"/>
      <c r="KNI203" s="605"/>
      <c r="KNJ203" s="605"/>
      <c r="KNK203" s="605"/>
      <c r="KNL203" s="605"/>
      <c r="KNM203" s="605"/>
      <c r="KNN203" s="605"/>
      <c r="KNO203" s="605"/>
      <c r="KNP203" s="605"/>
      <c r="KNQ203" s="605"/>
      <c r="KNR203" s="605"/>
      <c r="KNS203" s="605"/>
      <c r="KNT203" s="605"/>
      <c r="KNU203" s="605"/>
      <c r="KNV203" s="605"/>
      <c r="KNW203" s="605"/>
      <c r="KNX203" s="605"/>
      <c r="KNY203" s="605"/>
      <c r="KNZ203" s="605"/>
      <c r="KOA203" s="605"/>
      <c r="KOB203" s="605"/>
      <c r="KOC203" s="605"/>
      <c r="KOD203" s="605"/>
      <c r="KOE203" s="605"/>
      <c r="KOF203" s="605"/>
      <c r="KOG203" s="605"/>
      <c r="KOH203" s="605"/>
      <c r="KOI203" s="605"/>
      <c r="KOJ203" s="605"/>
      <c r="KOK203" s="605"/>
      <c r="KOL203" s="605"/>
      <c r="KOM203" s="605"/>
      <c r="KON203" s="605"/>
      <c r="KOO203" s="605"/>
      <c r="KOP203" s="605"/>
      <c r="KOQ203" s="605"/>
      <c r="KOR203" s="605"/>
      <c r="KOS203" s="605"/>
      <c r="KOT203" s="605"/>
      <c r="KOU203" s="605"/>
      <c r="KOV203" s="605"/>
      <c r="KOW203" s="605"/>
      <c r="KOX203" s="605"/>
      <c r="KOY203" s="605"/>
      <c r="KOZ203" s="605"/>
      <c r="KPA203" s="605"/>
      <c r="KPB203" s="605"/>
      <c r="KPC203" s="605"/>
      <c r="KPD203" s="605"/>
      <c r="KPE203" s="605"/>
      <c r="KPF203" s="605"/>
      <c r="KPG203" s="605"/>
      <c r="KPH203" s="605"/>
      <c r="KPI203" s="605"/>
      <c r="KPJ203" s="605"/>
      <c r="KPK203" s="605"/>
      <c r="KPL203" s="605"/>
      <c r="KPM203" s="605"/>
      <c r="KPN203" s="605"/>
      <c r="KPO203" s="605"/>
      <c r="KPP203" s="605"/>
      <c r="KPQ203" s="605"/>
      <c r="KPR203" s="605"/>
      <c r="KPS203" s="605"/>
      <c r="KPT203" s="605"/>
      <c r="KPU203" s="605"/>
      <c r="KPV203" s="605"/>
      <c r="KPW203" s="605"/>
      <c r="KPX203" s="605"/>
      <c r="KPY203" s="605"/>
      <c r="KPZ203" s="605"/>
      <c r="KQA203" s="605"/>
      <c r="KQB203" s="605"/>
      <c r="KQC203" s="605"/>
      <c r="KQD203" s="605"/>
      <c r="KQE203" s="605"/>
      <c r="KQF203" s="605"/>
      <c r="KQG203" s="605"/>
      <c r="KQH203" s="605"/>
      <c r="KQI203" s="605"/>
      <c r="KQJ203" s="605"/>
      <c r="KQK203" s="605"/>
      <c r="KQL203" s="605"/>
      <c r="KQM203" s="605"/>
      <c r="KQN203" s="605"/>
      <c r="KQO203" s="605"/>
      <c r="KQP203" s="605"/>
      <c r="KQQ203" s="605"/>
      <c r="KQR203" s="605"/>
      <c r="KQS203" s="605"/>
      <c r="KQT203" s="605"/>
      <c r="KQU203" s="605"/>
      <c r="KQV203" s="605"/>
      <c r="KQW203" s="605"/>
      <c r="KQX203" s="605"/>
      <c r="KQY203" s="605"/>
      <c r="KQZ203" s="605"/>
      <c r="KRA203" s="605"/>
      <c r="KRB203" s="605"/>
      <c r="KRC203" s="605"/>
      <c r="KRD203" s="605"/>
      <c r="KRE203" s="605"/>
      <c r="KRF203" s="605"/>
      <c r="KRG203" s="605"/>
      <c r="KRH203" s="605"/>
      <c r="KRI203" s="605"/>
      <c r="KRJ203" s="605"/>
      <c r="KRK203" s="605"/>
      <c r="KRL203" s="605"/>
      <c r="KRM203" s="605"/>
      <c r="KRN203" s="605"/>
      <c r="KRO203" s="605"/>
      <c r="KRP203" s="605"/>
      <c r="KRQ203" s="605"/>
      <c r="KRR203" s="605"/>
      <c r="KRS203" s="605"/>
      <c r="KRT203" s="605"/>
      <c r="KRU203" s="605"/>
      <c r="KRV203" s="605"/>
      <c r="KRW203" s="605"/>
      <c r="KRX203" s="605"/>
      <c r="KRY203" s="605"/>
      <c r="KRZ203" s="605"/>
      <c r="KSA203" s="605"/>
      <c r="KSB203" s="605"/>
      <c r="KSC203" s="605"/>
      <c r="KSD203" s="605"/>
      <c r="KSE203" s="605"/>
      <c r="KSF203" s="605"/>
      <c r="KSG203" s="605"/>
      <c r="KSH203" s="605"/>
      <c r="KSI203" s="605"/>
      <c r="KSJ203" s="605"/>
      <c r="KSK203" s="605"/>
      <c r="KSL203" s="605"/>
      <c r="KSM203" s="605"/>
      <c r="KSN203" s="605"/>
      <c r="KSO203" s="605"/>
      <c r="KSP203" s="605"/>
      <c r="KSQ203" s="605"/>
      <c r="KSR203" s="605"/>
      <c r="KSS203" s="605"/>
      <c r="KST203" s="605"/>
      <c r="KSU203" s="605"/>
      <c r="KSV203" s="605"/>
      <c r="KSW203" s="605"/>
      <c r="KSX203" s="605"/>
      <c r="KSY203" s="605"/>
      <c r="KSZ203" s="605"/>
      <c r="KTA203" s="605"/>
      <c r="KTB203" s="605"/>
      <c r="KTC203" s="605"/>
      <c r="KTD203" s="605"/>
      <c r="KTE203" s="605"/>
      <c r="KTF203" s="605"/>
      <c r="KTG203" s="605"/>
      <c r="KTH203" s="605"/>
      <c r="KTI203" s="605"/>
      <c r="KTJ203" s="605"/>
      <c r="KTK203" s="605"/>
      <c r="KTL203" s="605"/>
      <c r="KTM203" s="605"/>
      <c r="KTN203" s="605"/>
      <c r="KTO203" s="605"/>
      <c r="KTP203" s="605"/>
      <c r="KTQ203" s="605"/>
      <c r="KTR203" s="605"/>
      <c r="KTS203" s="605"/>
      <c r="KTT203" s="605"/>
      <c r="KTU203" s="605"/>
      <c r="KTV203" s="605"/>
      <c r="KTW203" s="605"/>
      <c r="KTX203" s="605"/>
      <c r="KTY203" s="605"/>
      <c r="KTZ203" s="605"/>
      <c r="KUA203" s="605"/>
      <c r="KUB203" s="605"/>
      <c r="KUC203" s="605"/>
      <c r="KUD203" s="605"/>
      <c r="KUE203" s="605"/>
      <c r="KUF203" s="605"/>
      <c r="KUG203" s="605"/>
      <c r="KUH203" s="605"/>
      <c r="KUI203" s="605"/>
      <c r="KUJ203" s="605"/>
      <c r="KUK203" s="605"/>
      <c r="KUL203" s="605"/>
      <c r="KUM203" s="605"/>
      <c r="KUN203" s="605"/>
      <c r="KUO203" s="605"/>
      <c r="KUP203" s="605"/>
      <c r="KUQ203" s="605"/>
      <c r="KUR203" s="605"/>
      <c r="KUS203" s="605"/>
      <c r="KUT203" s="605"/>
      <c r="KUU203" s="605"/>
      <c r="KUV203" s="605"/>
      <c r="KUW203" s="605"/>
      <c r="KUX203" s="605"/>
      <c r="KUY203" s="605"/>
      <c r="KUZ203" s="605"/>
      <c r="KVA203" s="605"/>
      <c r="KVB203" s="605"/>
      <c r="KVC203" s="605"/>
      <c r="KVD203" s="605"/>
      <c r="KVE203" s="605"/>
      <c r="KVF203" s="605"/>
      <c r="KVG203" s="605"/>
      <c r="KVH203" s="605"/>
      <c r="KVI203" s="605"/>
      <c r="KVJ203" s="605"/>
      <c r="KVK203" s="605"/>
      <c r="KVL203" s="605"/>
      <c r="KVM203" s="605"/>
      <c r="KVN203" s="605"/>
      <c r="KVO203" s="605"/>
      <c r="KVP203" s="605"/>
      <c r="KVQ203" s="605"/>
      <c r="KVR203" s="605"/>
      <c r="KVS203" s="605"/>
      <c r="KVT203" s="605"/>
      <c r="KVU203" s="605"/>
      <c r="KVV203" s="605"/>
      <c r="KVW203" s="605"/>
      <c r="KVX203" s="605"/>
      <c r="KVY203" s="605"/>
      <c r="KVZ203" s="605"/>
      <c r="KWA203" s="605"/>
      <c r="KWB203" s="605"/>
      <c r="KWC203" s="605"/>
      <c r="KWD203" s="605"/>
      <c r="KWE203" s="605"/>
      <c r="KWF203" s="605"/>
      <c r="KWG203" s="605"/>
      <c r="KWH203" s="605"/>
      <c r="KWI203" s="605"/>
      <c r="KWJ203" s="605"/>
      <c r="KWK203" s="605"/>
      <c r="KWL203" s="605"/>
      <c r="KWM203" s="605"/>
      <c r="KWN203" s="605"/>
      <c r="KWO203" s="605"/>
      <c r="KWP203" s="605"/>
      <c r="KWQ203" s="605"/>
      <c r="KWR203" s="605"/>
      <c r="KWS203" s="605"/>
      <c r="KWT203" s="605"/>
      <c r="KWU203" s="605"/>
      <c r="KWV203" s="605"/>
      <c r="KWW203" s="605"/>
      <c r="KWX203" s="605"/>
      <c r="KWY203" s="605"/>
      <c r="KWZ203" s="605"/>
      <c r="KXA203" s="605"/>
      <c r="KXB203" s="605"/>
      <c r="KXC203" s="605"/>
      <c r="KXD203" s="605"/>
      <c r="KXE203" s="605"/>
      <c r="KXF203" s="605"/>
      <c r="KXG203" s="605"/>
      <c r="KXH203" s="605"/>
      <c r="KXI203" s="605"/>
      <c r="KXJ203" s="605"/>
      <c r="KXK203" s="605"/>
      <c r="KXL203" s="605"/>
      <c r="KXM203" s="605"/>
      <c r="KXN203" s="605"/>
      <c r="KXO203" s="605"/>
      <c r="KXP203" s="605"/>
      <c r="KXQ203" s="605"/>
      <c r="KXR203" s="605"/>
      <c r="KXS203" s="605"/>
      <c r="KXT203" s="605"/>
      <c r="KXU203" s="605"/>
      <c r="KXV203" s="605"/>
      <c r="KXW203" s="605"/>
      <c r="KXX203" s="605"/>
      <c r="KXY203" s="605"/>
      <c r="KXZ203" s="605"/>
      <c r="KYA203" s="605"/>
      <c r="KYB203" s="605"/>
      <c r="KYC203" s="605"/>
      <c r="KYD203" s="605"/>
      <c r="KYE203" s="605"/>
      <c r="KYF203" s="605"/>
      <c r="KYG203" s="605"/>
      <c r="KYH203" s="605"/>
      <c r="KYI203" s="605"/>
      <c r="KYJ203" s="605"/>
      <c r="KYK203" s="605"/>
      <c r="KYL203" s="605"/>
      <c r="KYM203" s="605"/>
      <c r="KYN203" s="605"/>
      <c r="KYO203" s="605"/>
      <c r="KYP203" s="605"/>
      <c r="KYQ203" s="605"/>
      <c r="KYR203" s="605"/>
      <c r="KYS203" s="605"/>
      <c r="KYT203" s="605"/>
      <c r="KYU203" s="605"/>
      <c r="KYV203" s="605"/>
      <c r="KYW203" s="605"/>
      <c r="KYX203" s="605"/>
      <c r="KYY203" s="605"/>
      <c r="KYZ203" s="605"/>
      <c r="KZA203" s="605"/>
      <c r="KZB203" s="605"/>
      <c r="KZC203" s="605"/>
      <c r="KZD203" s="605"/>
      <c r="KZE203" s="605"/>
      <c r="KZF203" s="605"/>
      <c r="KZG203" s="605"/>
      <c r="KZH203" s="605"/>
      <c r="KZI203" s="605"/>
      <c r="KZJ203" s="605"/>
      <c r="KZK203" s="605"/>
      <c r="KZL203" s="605"/>
      <c r="KZM203" s="605"/>
      <c r="KZN203" s="605"/>
      <c r="KZO203" s="605"/>
      <c r="KZP203" s="605"/>
      <c r="KZQ203" s="605"/>
      <c r="KZR203" s="605"/>
      <c r="KZS203" s="605"/>
      <c r="KZT203" s="605"/>
      <c r="KZU203" s="605"/>
      <c r="KZV203" s="605"/>
      <c r="KZW203" s="605"/>
      <c r="KZX203" s="605"/>
      <c r="KZY203" s="605"/>
      <c r="KZZ203" s="605"/>
      <c r="LAA203" s="605"/>
      <c r="LAB203" s="605"/>
      <c r="LAC203" s="605"/>
      <c r="LAD203" s="605"/>
      <c r="LAE203" s="605"/>
      <c r="LAF203" s="605"/>
      <c r="LAG203" s="605"/>
      <c r="LAH203" s="605"/>
      <c r="LAI203" s="605"/>
      <c r="LAJ203" s="605"/>
      <c r="LAK203" s="605"/>
      <c r="LAL203" s="605"/>
      <c r="LAM203" s="605"/>
      <c r="LAN203" s="605"/>
      <c r="LAO203" s="605"/>
      <c r="LAP203" s="605"/>
      <c r="LAQ203" s="605"/>
      <c r="LAR203" s="605"/>
      <c r="LAS203" s="605"/>
      <c r="LAT203" s="605"/>
      <c r="LAU203" s="605"/>
      <c r="LAV203" s="605"/>
      <c r="LAW203" s="605"/>
      <c r="LAX203" s="605"/>
      <c r="LAY203" s="605"/>
      <c r="LAZ203" s="605"/>
      <c r="LBA203" s="605"/>
      <c r="LBB203" s="605"/>
      <c r="LBC203" s="605"/>
      <c r="LBD203" s="605"/>
      <c r="LBE203" s="605"/>
      <c r="LBF203" s="605"/>
      <c r="LBG203" s="605"/>
      <c r="LBH203" s="605"/>
      <c r="LBI203" s="605"/>
      <c r="LBJ203" s="605"/>
      <c r="LBK203" s="605"/>
      <c r="LBL203" s="605"/>
      <c r="LBM203" s="605"/>
      <c r="LBN203" s="605"/>
      <c r="LBO203" s="605"/>
      <c r="LBP203" s="605"/>
      <c r="LBQ203" s="605"/>
      <c r="LBR203" s="605"/>
      <c r="LBS203" s="605"/>
      <c r="LBT203" s="605"/>
      <c r="LBU203" s="605"/>
      <c r="LBV203" s="605"/>
      <c r="LBW203" s="605"/>
      <c r="LBX203" s="605"/>
      <c r="LBY203" s="605"/>
      <c r="LBZ203" s="605"/>
      <c r="LCA203" s="605"/>
      <c r="LCB203" s="605"/>
      <c r="LCC203" s="605"/>
      <c r="LCD203" s="605"/>
      <c r="LCE203" s="605"/>
      <c r="LCF203" s="605"/>
      <c r="LCG203" s="605"/>
      <c r="LCH203" s="605"/>
      <c r="LCI203" s="605"/>
      <c r="LCJ203" s="605"/>
      <c r="LCK203" s="605"/>
      <c r="LCL203" s="605"/>
      <c r="LCM203" s="605"/>
      <c r="LCN203" s="605"/>
      <c r="LCO203" s="605"/>
      <c r="LCP203" s="605"/>
      <c r="LCQ203" s="605"/>
      <c r="LCR203" s="605"/>
      <c r="LCS203" s="605"/>
      <c r="LCT203" s="605"/>
      <c r="LCU203" s="605"/>
      <c r="LCV203" s="605"/>
      <c r="LCW203" s="605"/>
      <c r="LCX203" s="605"/>
      <c r="LCY203" s="605"/>
      <c r="LCZ203" s="605"/>
      <c r="LDA203" s="605"/>
      <c r="LDB203" s="605"/>
      <c r="LDC203" s="605"/>
      <c r="LDD203" s="605"/>
      <c r="LDE203" s="605"/>
      <c r="LDF203" s="605"/>
      <c r="LDG203" s="605"/>
      <c r="LDH203" s="605"/>
      <c r="LDI203" s="605"/>
      <c r="LDJ203" s="605"/>
      <c r="LDK203" s="605"/>
      <c r="LDL203" s="605"/>
      <c r="LDM203" s="605"/>
      <c r="LDN203" s="605"/>
      <c r="LDO203" s="605"/>
      <c r="LDP203" s="605"/>
      <c r="LDQ203" s="605"/>
      <c r="LDR203" s="605"/>
      <c r="LDS203" s="605"/>
      <c r="LDT203" s="605"/>
      <c r="LDU203" s="605"/>
      <c r="LDV203" s="605"/>
      <c r="LDW203" s="605"/>
      <c r="LDX203" s="605"/>
      <c r="LDY203" s="605"/>
      <c r="LDZ203" s="605"/>
      <c r="LEA203" s="605"/>
      <c r="LEB203" s="605"/>
      <c r="LEC203" s="605"/>
      <c r="LED203" s="605"/>
      <c r="LEE203" s="605"/>
      <c r="LEF203" s="605"/>
      <c r="LEG203" s="605"/>
      <c r="LEH203" s="605"/>
      <c r="LEI203" s="605"/>
      <c r="LEJ203" s="605"/>
      <c r="LEK203" s="605"/>
      <c r="LEL203" s="605"/>
      <c r="LEM203" s="605"/>
      <c r="LEN203" s="605"/>
      <c r="LEO203" s="605"/>
      <c r="LEP203" s="605"/>
      <c r="LEQ203" s="605"/>
      <c r="LER203" s="605"/>
      <c r="LES203" s="605"/>
      <c r="LET203" s="605"/>
      <c r="LEU203" s="605"/>
      <c r="LEV203" s="605"/>
      <c r="LEW203" s="605"/>
      <c r="LEX203" s="605"/>
      <c r="LEY203" s="605"/>
      <c r="LEZ203" s="605"/>
      <c r="LFA203" s="605"/>
      <c r="LFB203" s="605"/>
      <c r="LFC203" s="605"/>
      <c r="LFD203" s="605"/>
      <c r="LFE203" s="605"/>
      <c r="LFF203" s="605"/>
      <c r="LFG203" s="605"/>
      <c r="LFH203" s="605"/>
      <c r="LFI203" s="605"/>
      <c r="LFJ203" s="605"/>
      <c r="LFK203" s="605"/>
      <c r="LFL203" s="605"/>
      <c r="LFM203" s="605"/>
      <c r="LFN203" s="605"/>
      <c r="LFO203" s="605"/>
      <c r="LFP203" s="605"/>
      <c r="LFQ203" s="605"/>
      <c r="LFR203" s="605"/>
      <c r="LFS203" s="605"/>
      <c r="LFT203" s="605"/>
      <c r="LFU203" s="605"/>
      <c r="LFV203" s="605"/>
      <c r="LFW203" s="605"/>
      <c r="LFX203" s="605"/>
      <c r="LFY203" s="605"/>
      <c r="LFZ203" s="605"/>
      <c r="LGA203" s="605"/>
      <c r="LGB203" s="605"/>
      <c r="LGC203" s="605"/>
      <c r="LGD203" s="605"/>
      <c r="LGE203" s="605"/>
      <c r="LGF203" s="605"/>
      <c r="LGG203" s="605"/>
      <c r="LGH203" s="605"/>
      <c r="LGI203" s="605"/>
      <c r="LGJ203" s="605"/>
      <c r="LGK203" s="605"/>
      <c r="LGL203" s="605"/>
      <c r="LGM203" s="605"/>
      <c r="LGN203" s="605"/>
      <c r="LGO203" s="605"/>
      <c r="LGP203" s="605"/>
      <c r="LGQ203" s="605"/>
      <c r="LGR203" s="605"/>
      <c r="LGS203" s="605"/>
      <c r="LGT203" s="605"/>
      <c r="LGU203" s="605"/>
      <c r="LGV203" s="605"/>
      <c r="LGW203" s="605"/>
      <c r="LGX203" s="605"/>
      <c r="LGY203" s="605"/>
      <c r="LGZ203" s="605"/>
      <c r="LHA203" s="605"/>
      <c r="LHB203" s="605"/>
      <c r="LHC203" s="605"/>
      <c r="LHD203" s="605"/>
      <c r="LHE203" s="605"/>
      <c r="LHF203" s="605"/>
      <c r="LHG203" s="605"/>
      <c r="LHH203" s="605"/>
      <c r="LHI203" s="605"/>
      <c r="LHJ203" s="605"/>
      <c r="LHK203" s="605"/>
      <c r="LHL203" s="605"/>
      <c r="LHM203" s="605"/>
      <c r="LHN203" s="605"/>
      <c r="LHO203" s="605"/>
      <c r="LHP203" s="605"/>
      <c r="LHQ203" s="605"/>
      <c r="LHR203" s="605"/>
      <c r="LHS203" s="605"/>
      <c r="LHT203" s="605"/>
      <c r="LHU203" s="605"/>
      <c r="LHV203" s="605"/>
      <c r="LHW203" s="605"/>
      <c r="LHX203" s="605"/>
      <c r="LHY203" s="605"/>
      <c r="LHZ203" s="605"/>
      <c r="LIA203" s="605"/>
      <c r="LIB203" s="605"/>
      <c r="LIC203" s="605"/>
      <c r="LID203" s="605"/>
      <c r="LIE203" s="605"/>
      <c r="LIF203" s="605"/>
      <c r="LIG203" s="605"/>
      <c r="LIH203" s="605"/>
      <c r="LII203" s="605"/>
      <c r="LIJ203" s="605"/>
      <c r="LIK203" s="605"/>
      <c r="LIL203" s="605"/>
      <c r="LIM203" s="605"/>
      <c r="LIN203" s="605"/>
      <c r="LIO203" s="605"/>
      <c r="LIP203" s="605"/>
      <c r="LIQ203" s="605"/>
      <c r="LIR203" s="605"/>
      <c r="LIS203" s="605"/>
      <c r="LIT203" s="605"/>
      <c r="LIU203" s="605"/>
      <c r="LIV203" s="605"/>
      <c r="LIW203" s="605"/>
      <c r="LIX203" s="605"/>
      <c r="LIY203" s="605"/>
      <c r="LIZ203" s="605"/>
      <c r="LJA203" s="605"/>
      <c r="LJB203" s="605"/>
      <c r="LJC203" s="605"/>
      <c r="LJD203" s="605"/>
      <c r="LJE203" s="605"/>
      <c r="LJF203" s="605"/>
      <c r="LJG203" s="605"/>
      <c r="LJH203" s="605"/>
      <c r="LJI203" s="605"/>
      <c r="LJJ203" s="605"/>
      <c r="LJK203" s="605"/>
      <c r="LJL203" s="605"/>
      <c r="LJM203" s="605"/>
      <c r="LJN203" s="605"/>
      <c r="LJO203" s="605"/>
      <c r="LJP203" s="605"/>
      <c r="LJQ203" s="605"/>
      <c r="LJR203" s="605"/>
      <c r="LJS203" s="605"/>
      <c r="LJT203" s="605"/>
      <c r="LJU203" s="605"/>
      <c r="LJV203" s="605"/>
      <c r="LJW203" s="605"/>
      <c r="LJX203" s="605"/>
      <c r="LJY203" s="605"/>
      <c r="LJZ203" s="605"/>
      <c r="LKA203" s="605"/>
      <c r="LKB203" s="605"/>
      <c r="LKC203" s="605"/>
      <c r="LKD203" s="605"/>
      <c r="LKE203" s="605"/>
      <c r="LKF203" s="605"/>
      <c r="LKG203" s="605"/>
      <c r="LKH203" s="605"/>
      <c r="LKI203" s="605"/>
      <c r="LKJ203" s="605"/>
      <c r="LKK203" s="605"/>
      <c r="LKL203" s="605"/>
      <c r="LKM203" s="605"/>
      <c r="LKN203" s="605"/>
      <c r="LKO203" s="605"/>
      <c r="LKP203" s="605"/>
      <c r="LKQ203" s="605"/>
      <c r="LKR203" s="605"/>
      <c r="LKS203" s="605"/>
      <c r="LKT203" s="605"/>
      <c r="LKU203" s="605"/>
      <c r="LKV203" s="605"/>
      <c r="LKW203" s="605"/>
      <c r="LKX203" s="605"/>
      <c r="LKY203" s="605"/>
      <c r="LKZ203" s="605"/>
      <c r="LLA203" s="605"/>
      <c r="LLB203" s="605"/>
      <c r="LLC203" s="605"/>
      <c r="LLD203" s="605"/>
      <c r="LLE203" s="605"/>
      <c r="LLF203" s="605"/>
      <c r="LLG203" s="605"/>
      <c r="LLH203" s="605"/>
      <c r="LLI203" s="605"/>
      <c r="LLJ203" s="605"/>
      <c r="LLK203" s="605"/>
      <c r="LLL203" s="605"/>
      <c r="LLM203" s="605"/>
      <c r="LLN203" s="605"/>
      <c r="LLO203" s="605"/>
      <c r="LLP203" s="605"/>
      <c r="LLQ203" s="605"/>
      <c r="LLR203" s="605"/>
      <c r="LLS203" s="605"/>
      <c r="LLT203" s="605"/>
      <c r="LLU203" s="605"/>
      <c r="LLV203" s="605"/>
      <c r="LLW203" s="605"/>
      <c r="LLX203" s="605"/>
      <c r="LLY203" s="605"/>
      <c r="LLZ203" s="605"/>
      <c r="LMA203" s="605"/>
      <c r="LMB203" s="605"/>
      <c r="LMC203" s="605"/>
      <c r="LMD203" s="605"/>
      <c r="LME203" s="605"/>
      <c r="LMF203" s="605"/>
      <c r="LMG203" s="605"/>
      <c r="LMH203" s="605"/>
      <c r="LMI203" s="605"/>
      <c r="LMJ203" s="605"/>
      <c r="LMK203" s="605"/>
      <c r="LML203" s="605"/>
      <c r="LMM203" s="605"/>
      <c r="LMN203" s="605"/>
      <c r="LMO203" s="605"/>
      <c r="LMP203" s="605"/>
      <c r="LMQ203" s="605"/>
      <c r="LMR203" s="605"/>
      <c r="LMS203" s="605"/>
      <c r="LMT203" s="605"/>
      <c r="LMU203" s="605"/>
      <c r="LMV203" s="605"/>
      <c r="LMW203" s="605"/>
      <c r="LMX203" s="605"/>
      <c r="LMY203" s="605"/>
      <c r="LMZ203" s="605"/>
      <c r="LNA203" s="605"/>
      <c r="LNB203" s="605"/>
      <c r="LNC203" s="605"/>
      <c r="LND203" s="605"/>
      <c r="LNE203" s="605"/>
      <c r="LNF203" s="605"/>
      <c r="LNG203" s="605"/>
      <c r="LNH203" s="605"/>
      <c r="LNI203" s="605"/>
      <c r="LNJ203" s="605"/>
      <c r="LNK203" s="605"/>
      <c r="LNL203" s="605"/>
      <c r="LNM203" s="605"/>
      <c r="LNN203" s="605"/>
      <c r="LNO203" s="605"/>
      <c r="LNP203" s="605"/>
      <c r="LNQ203" s="605"/>
      <c r="LNR203" s="605"/>
      <c r="LNS203" s="605"/>
      <c r="LNT203" s="605"/>
      <c r="LNU203" s="605"/>
      <c r="LNV203" s="605"/>
      <c r="LNW203" s="605"/>
      <c r="LNX203" s="605"/>
      <c r="LNY203" s="605"/>
      <c r="LNZ203" s="605"/>
      <c r="LOA203" s="605"/>
      <c r="LOB203" s="605"/>
      <c r="LOC203" s="605"/>
      <c r="LOD203" s="605"/>
      <c r="LOE203" s="605"/>
      <c r="LOF203" s="605"/>
      <c r="LOG203" s="605"/>
      <c r="LOH203" s="605"/>
      <c r="LOI203" s="605"/>
      <c r="LOJ203" s="605"/>
      <c r="LOK203" s="605"/>
      <c r="LOL203" s="605"/>
      <c r="LOM203" s="605"/>
      <c r="LON203" s="605"/>
      <c r="LOO203" s="605"/>
      <c r="LOP203" s="605"/>
      <c r="LOQ203" s="605"/>
      <c r="LOR203" s="605"/>
      <c r="LOS203" s="605"/>
      <c r="LOT203" s="605"/>
      <c r="LOU203" s="605"/>
      <c r="LOV203" s="605"/>
      <c r="LOW203" s="605"/>
      <c r="LOX203" s="605"/>
      <c r="LOY203" s="605"/>
      <c r="LOZ203" s="605"/>
      <c r="LPA203" s="605"/>
      <c r="LPB203" s="605"/>
      <c r="LPC203" s="605"/>
      <c r="LPD203" s="605"/>
      <c r="LPE203" s="605"/>
      <c r="LPF203" s="605"/>
      <c r="LPG203" s="605"/>
      <c r="LPH203" s="605"/>
      <c r="LPI203" s="605"/>
      <c r="LPJ203" s="605"/>
      <c r="LPK203" s="605"/>
      <c r="LPL203" s="605"/>
      <c r="LPM203" s="605"/>
      <c r="LPN203" s="605"/>
      <c r="LPO203" s="605"/>
      <c r="LPP203" s="605"/>
      <c r="LPQ203" s="605"/>
      <c r="LPR203" s="605"/>
      <c r="LPS203" s="605"/>
      <c r="LPT203" s="605"/>
      <c r="LPU203" s="605"/>
      <c r="LPV203" s="605"/>
      <c r="LPW203" s="605"/>
      <c r="LPX203" s="605"/>
      <c r="LPY203" s="605"/>
      <c r="LPZ203" s="605"/>
      <c r="LQA203" s="605"/>
      <c r="LQB203" s="605"/>
      <c r="LQC203" s="605"/>
      <c r="LQD203" s="605"/>
      <c r="LQE203" s="605"/>
      <c r="LQF203" s="605"/>
      <c r="LQG203" s="605"/>
      <c r="LQH203" s="605"/>
      <c r="LQI203" s="605"/>
      <c r="LQJ203" s="605"/>
      <c r="LQK203" s="605"/>
      <c r="LQL203" s="605"/>
      <c r="LQM203" s="605"/>
      <c r="LQN203" s="605"/>
      <c r="LQO203" s="605"/>
      <c r="LQP203" s="605"/>
      <c r="LQQ203" s="605"/>
      <c r="LQR203" s="605"/>
      <c r="LQS203" s="605"/>
      <c r="LQT203" s="605"/>
      <c r="LQU203" s="605"/>
      <c r="LQV203" s="605"/>
      <c r="LQW203" s="605"/>
      <c r="LQX203" s="605"/>
      <c r="LQY203" s="605"/>
      <c r="LQZ203" s="605"/>
      <c r="LRA203" s="605"/>
      <c r="LRB203" s="605"/>
      <c r="LRC203" s="605"/>
      <c r="LRD203" s="605"/>
      <c r="LRE203" s="605"/>
      <c r="LRF203" s="605"/>
      <c r="LRG203" s="605"/>
      <c r="LRH203" s="605"/>
      <c r="LRI203" s="605"/>
      <c r="LRJ203" s="605"/>
      <c r="LRK203" s="605"/>
      <c r="LRL203" s="605"/>
      <c r="LRM203" s="605"/>
      <c r="LRN203" s="605"/>
      <c r="LRO203" s="605"/>
      <c r="LRP203" s="605"/>
      <c r="LRQ203" s="605"/>
      <c r="LRR203" s="605"/>
      <c r="LRS203" s="605"/>
      <c r="LRT203" s="605"/>
      <c r="LRU203" s="605"/>
      <c r="LRV203" s="605"/>
      <c r="LRW203" s="605"/>
      <c r="LRX203" s="605"/>
      <c r="LRY203" s="605"/>
      <c r="LRZ203" s="605"/>
      <c r="LSA203" s="605"/>
      <c r="LSB203" s="605"/>
      <c r="LSC203" s="605"/>
      <c r="LSD203" s="605"/>
      <c r="LSE203" s="605"/>
      <c r="LSF203" s="605"/>
      <c r="LSG203" s="605"/>
      <c r="LSH203" s="605"/>
      <c r="LSI203" s="605"/>
      <c r="LSJ203" s="605"/>
      <c r="LSK203" s="605"/>
      <c r="LSL203" s="605"/>
      <c r="LSM203" s="605"/>
      <c r="LSN203" s="605"/>
      <c r="LSO203" s="605"/>
      <c r="LSP203" s="605"/>
      <c r="LSQ203" s="605"/>
      <c r="LSR203" s="605"/>
      <c r="LSS203" s="605"/>
      <c r="LST203" s="605"/>
      <c r="LSU203" s="605"/>
      <c r="LSV203" s="605"/>
      <c r="LSW203" s="605"/>
      <c r="LSX203" s="605"/>
      <c r="LSY203" s="605"/>
      <c r="LSZ203" s="605"/>
      <c r="LTA203" s="605"/>
      <c r="LTB203" s="605"/>
      <c r="LTC203" s="605"/>
      <c r="LTD203" s="605"/>
      <c r="LTE203" s="605"/>
      <c r="LTF203" s="605"/>
      <c r="LTG203" s="605"/>
      <c r="LTH203" s="605"/>
      <c r="LTI203" s="605"/>
      <c r="LTJ203" s="605"/>
      <c r="LTK203" s="605"/>
      <c r="LTL203" s="605"/>
      <c r="LTM203" s="605"/>
      <c r="LTN203" s="605"/>
      <c r="LTO203" s="605"/>
      <c r="LTP203" s="605"/>
      <c r="LTQ203" s="605"/>
      <c r="LTR203" s="605"/>
      <c r="LTS203" s="605"/>
      <c r="LTT203" s="605"/>
      <c r="LTU203" s="605"/>
      <c r="LTV203" s="605"/>
      <c r="LTW203" s="605"/>
      <c r="LTX203" s="605"/>
      <c r="LTY203" s="605"/>
      <c r="LTZ203" s="605"/>
      <c r="LUA203" s="605"/>
      <c r="LUB203" s="605"/>
      <c r="LUC203" s="605"/>
      <c r="LUD203" s="605"/>
      <c r="LUE203" s="605"/>
      <c r="LUF203" s="605"/>
      <c r="LUG203" s="605"/>
      <c r="LUH203" s="605"/>
      <c r="LUI203" s="605"/>
      <c r="LUJ203" s="605"/>
      <c r="LUK203" s="605"/>
      <c r="LUL203" s="605"/>
      <c r="LUM203" s="605"/>
      <c r="LUN203" s="605"/>
      <c r="LUO203" s="605"/>
      <c r="LUP203" s="605"/>
      <c r="LUQ203" s="605"/>
      <c r="LUR203" s="605"/>
      <c r="LUS203" s="605"/>
      <c r="LUT203" s="605"/>
      <c r="LUU203" s="605"/>
      <c r="LUV203" s="605"/>
      <c r="LUW203" s="605"/>
      <c r="LUX203" s="605"/>
      <c r="LUY203" s="605"/>
      <c r="LUZ203" s="605"/>
      <c r="LVA203" s="605"/>
      <c r="LVB203" s="605"/>
      <c r="LVC203" s="605"/>
      <c r="LVD203" s="605"/>
      <c r="LVE203" s="605"/>
      <c r="LVF203" s="605"/>
      <c r="LVG203" s="605"/>
      <c r="LVH203" s="605"/>
      <c r="LVI203" s="605"/>
      <c r="LVJ203" s="605"/>
      <c r="LVK203" s="605"/>
      <c r="LVL203" s="605"/>
      <c r="LVM203" s="605"/>
      <c r="LVN203" s="605"/>
      <c r="LVO203" s="605"/>
      <c r="LVP203" s="605"/>
      <c r="LVQ203" s="605"/>
      <c r="LVR203" s="605"/>
      <c r="LVS203" s="605"/>
      <c r="LVT203" s="605"/>
      <c r="LVU203" s="605"/>
      <c r="LVV203" s="605"/>
      <c r="LVW203" s="605"/>
      <c r="LVX203" s="605"/>
      <c r="LVY203" s="605"/>
      <c r="LVZ203" s="605"/>
      <c r="LWA203" s="605"/>
      <c r="LWB203" s="605"/>
      <c r="LWC203" s="605"/>
      <c r="LWD203" s="605"/>
      <c r="LWE203" s="605"/>
      <c r="LWF203" s="605"/>
      <c r="LWG203" s="605"/>
      <c r="LWH203" s="605"/>
      <c r="LWI203" s="605"/>
      <c r="LWJ203" s="605"/>
      <c r="LWK203" s="605"/>
      <c r="LWL203" s="605"/>
      <c r="LWM203" s="605"/>
      <c r="LWN203" s="605"/>
      <c r="LWO203" s="605"/>
      <c r="LWP203" s="605"/>
      <c r="LWQ203" s="605"/>
      <c r="LWR203" s="605"/>
      <c r="LWS203" s="605"/>
      <c r="LWT203" s="605"/>
      <c r="LWU203" s="605"/>
      <c r="LWV203" s="605"/>
      <c r="LWW203" s="605"/>
      <c r="LWX203" s="605"/>
      <c r="LWY203" s="605"/>
      <c r="LWZ203" s="605"/>
      <c r="LXA203" s="605"/>
      <c r="LXB203" s="605"/>
      <c r="LXC203" s="605"/>
      <c r="LXD203" s="605"/>
      <c r="LXE203" s="605"/>
      <c r="LXF203" s="605"/>
      <c r="LXG203" s="605"/>
      <c r="LXH203" s="605"/>
      <c r="LXI203" s="605"/>
      <c r="LXJ203" s="605"/>
      <c r="LXK203" s="605"/>
      <c r="LXL203" s="605"/>
      <c r="LXM203" s="605"/>
      <c r="LXN203" s="605"/>
      <c r="LXO203" s="605"/>
      <c r="LXP203" s="605"/>
      <c r="LXQ203" s="605"/>
      <c r="LXR203" s="605"/>
      <c r="LXS203" s="605"/>
      <c r="LXT203" s="605"/>
      <c r="LXU203" s="605"/>
      <c r="LXV203" s="605"/>
      <c r="LXW203" s="605"/>
      <c r="LXX203" s="605"/>
      <c r="LXY203" s="605"/>
      <c r="LXZ203" s="605"/>
      <c r="LYA203" s="605"/>
      <c r="LYB203" s="605"/>
      <c r="LYC203" s="605"/>
      <c r="LYD203" s="605"/>
      <c r="LYE203" s="605"/>
      <c r="LYF203" s="605"/>
      <c r="LYG203" s="605"/>
      <c r="LYH203" s="605"/>
      <c r="LYI203" s="605"/>
      <c r="LYJ203" s="605"/>
      <c r="LYK203" s="605"/>
      <c r="LYL203" s="605"/>
      <c r="LYM203" s="605"/>
      <c r="LYN203" s="605"/>
      <c r="LYO203" s="605"/>
      <c r="LYP203" s="605"/>
      <c r="LYQ203" s="605"/>
      <c r="LYR203" s="605"/>
      <c r="LYS203" s="605"/>
      <c r="LYT203" s="605"/>
      <c r="LYU203" s="605"/>
      <c r="LYV203" s="605"/>
      <c r="LYW203" s="605"/>
      <c r="LYX203" s="605"/>
      <c r="LYY203" s="605"/>
      <c r="LYZ203" s="605"/>
      <c r="LZA203" s="605"/>
      <c r="LZB203" s="605"/>
      <c r="LZC203" s="605"/>
      <c r="LZD203" s="605"/>
      <c r="LZE203" s="605"/>
      <c r="LZF203" s="605"/>
      <c r="LZG203" s="605"/>
      <c r="LZH203" s="605"/>
      <c r="LZI203" s="605"/>
      <c r="LZJ203" s="605"/>
      <c r="LZK203" s="605"/>
      <c r="LZL203" s="605"/>
      <c r="LZM203" s="605"/>
      <c r="LZN203" s="605"/>
      <c r="LZO203" s="605"/>
      <c r="LZP203" s="605"/>
      <c r="LZQ203" s="605"/>
      <c r="LZR203" s="605"/>
      <c r="LZS203" s="605"/>
      <c r="LZT203" s="605"/>
      <c r="LZU203" s="605"/>
      <c r="LZV203" s="605"/>
      <c r="LZW203" s="605"/>
      <c r="LZX203" s="605"/>
      <c r="LZY203" s="605"/>
      <c r="LZZ203" s="605"/>
      <c r="MAA203" s="605"/>
      <c r="MAB203" s="605"/>
      <c r="MAC203" s="605"/>
      <c r="MAD203" s="605"/>
      <c r="MAE203" s="605"/>
      <c r="MAF203" s="605"/>
      <c r="MAG203" s="605"/>
      <c r="MAH203" s="605"/>
      <c r="MAI203" s="605"/>
      <c r="MAJ203" s="605"/>
      <c r="MAK203" s="605"/>
      <c r="MAL203" s="605"/>
      <c r="MAM203" s="605"/>
      <c r="MAN203" s="605"/>
      <c r="MAO203" s="605"/>
      <c r="MAP203" s="605"/>
      <c r="MAQ203" s="605"/>
      <c r="MAR203" s="605"/>
      <c r="MAS203" s="605"/>
      <c r="MAT203" s="605"/>
      <c r="MAU203" s="605"/>
      <c r="MAV203" s="605"/>
      <c r="MAW203" s="605"/>
      <c r="MAX203" s="605"/>
      <c r="MAY203" s="605"/>
      <c r="MAZ203" s="605"/>
      <c r="MBA203" s="605"/>
      <c r="MBB203" s="605"/>
      <c r="MBC203" s="605"/>
      <c r="MBD203" s="605"/>
      <c r="MBE203" s="605"/>
      <c r="MBF203" s="605"/>
      <c r="MBG203" s="605"/>
      <c r="MBH203" s="605"/>
      <c r="MBI203" s="605"/>
      <c r="MBJ203" s="605"/>
      <c r="MBK203" s="605"/>
      <c r="MBL203" s="605"/>
      <c r="MBM203" s="605"/>
      <c r="MBN203" s="605"/>
      <c r="MBO203" s="605"/>
      <c r="MBP203" s="605"/>
      <c r="MBQ203" s="605"/>
      <c r="MBR203" s="605"/>
      <c r="MBS203" s="605"/>
      <c r="MBT203" s="605"/>
      <c r="MBU203" s="605"/>
      <c r="MBV203" s="605"/>
      <c r="MBW203" s="605"/>
      <c r="MBX203" s="605"/>
      <c r="MBY203" s="605"/>
      <c r="MBZ203" s="605"/>
      <c r="MCA203" s="605"/>
      <c r="MCB203" s="605"/>
      <c r="MCC203" s="605"/>
      <c r="MCD203" s="605"/>
      <c r="MCE203" s="605"/>
      <c r="MCF203" s="605"/>
      <c r="MCG203" s="605"/>
      <c r="MCH203" s="605"/>
      <c r="MCI203" s="605"/>
      <c r="MCJ203" s="605"/>
      <c r="MCK203" s="605"/>
      <c r="MCL203" s="605"/>
      <c r="MCM203" s="605"/>
      <c r="MCN203" s="605"/>
      <c r="MCO203" s="605"/>
      <c r="MCP203" s="605"/>
      <c r="MCQ203" s="605"/>
      <c r="MCR203" s="605"/>
      <c r="MCS203" s="605"/>
      <c r="MCT203" s="605"/>
      <c r="MCU203" s="605"/>
      <c r="MCV203" s="605"/>
      <c r="MCW203" s="605"/>
      <c r="MCX203" s="605"/>
      <c r="MCY203" s="605"/>
      <c r="MCZ203" s="605"/>
      <c r="MDA203" s="605"/>
      <c r="MDB203" s="605"/>
      <c r="MDC203" s="605"/>
      <c r="MDD203" s="605"/>
      <c r="MDE203" s="605"/>
      <c r="MDF203" s="605"/>
      <c r="MDG203" s="605"/>
      <c r="MDH203" s="605"/>
      <c r="MDI203" s="605"/>
      <c r="MDJ203" s="605"/>
      <c r="MDK203" s="605"/>
      <c r="MDL203" s="605"/>
      <c r="MDM203" s="605"/>
      <c r="MDN203" s="605"/>
      <c r="MDO203" s="605"/>
      <c r="MDP203" s="605"/>
      <c r="MDQ203" s="605"/>
      <c r="MDR203" s="605"/>
      <c r="MDS203" s="605"/>
      <c r="MDT203" s="605"/>
      <c r="MDU203" s="605"/>
      <c r="MDV203" s="605"/>
      <c r="MDW203" s="605"/>
      <c r="MDX203" s="605"/>
      <c r="MDY203" s="605"/>
      <c r="MDZ203" s="605"/>
      <c r="MEA203" s="605"/>
      <c r="MEB203" s="605"/>
      <c r="MEC203" s="605"/>
      <c r="MED203" s="605"/>
      <c r="MEE203" s="605"/>
      <c r="MEF203" s="605"/>
      <c r="MEG203" s="605"/>
      <c r="MEH203" s="605"/>
      <c r="MEI203" s="605"/>
      <c r="MEJ203" s="605"/>
      <c r="MEK203" s="605"/>
      <c r="MEL203" s="605"/>
      <c r="MEM203" s="605"/>
      <c r="MEN203" s="605"/>
      <c r="MEO203" s="605"/>
      <c r="MEP203" s="605"/>
      <c r="MEQ203" s="605"/>
      <c r="MER203" s="605"/>
      <c r="MES203" s="605"/>
      <c r="MET203" s="605"/>
      <c r="MEU203" s="605"/>
      <c r="MEV203" s="605"/>
      <c r="MEW203" s="605"/>
      <c r="MEX203" s="605"/>
      <c r="MEY203" s="605"/>
      <c r="MEZ203" s="605"/>
      <c r="MFA203" s="605"/>
      <c r="MFB203" s="605"/>
      <c r="MFC203" s="605"/>
      <c r="MFD203" s="605"/>
      <c r="MFE203" s="605"/>
      <c r="MFF203" s="605"/>
      <c r="MFG203" s="605"/>
      <c r="MFH203" s="605"/>
      <c r="MFI203" s="605"/>
      <c r="MFJ203" s="605"/>
      <c r="MFK203" s="605"/>
      <c r="MFL203" s="605"/>
      <c r="MFM203" s="605"/>
      <c r="MFN203" s="605"/>
      <c r="MFO203" s="605"/>
      <c r="MFP203" s="605"/>
      <c r="MFQ203" s="605"/>
      <c r="MFR203" s="605"/>
      <c r="MFS203" s="605"/>
      <c r="MFT203" s="605"/>
      <c r="MFU203" s="605"/>
      <c r="MFV203" s="605"/>
      <c r="MFW203" s="605"/>
      <c r="MFX203" s="605"/>
      <c r="MFY203" s="605"/>
      <c r="MFZ203" s="605"/>
      <c r="MGA203" s="605"/>
      <c r="MGB203" s="605"/>
      <c r="MGC203" s="605"/>
      <c r="MGD203" s="605"/>
      <c r="MGE203" s="605"/>
      <c r="MGF203" s="605"/>
      <c r="MGG203" s="605"/>
      <c r="MGH203" s="605"/>
      <c r="MGI203" s="605"/>
      <c r="MGJ203" s="605"/>
      <c r="MGK203" s="605"/>
      <c r="MGL203" s="605"/>
      <c r="MGM203" s="605"/>
      <c r="MGN203" s="605"/>
      <c r="MGO203" s="605"/>
      <c r="MGP203" s="605"/>
      <c r="MGQ203" s="605"/>
      <c r="MGR203" s="605"/>
      <c r="MGS203" s="605"/>
      <c r="MGT203" s="605"/>
      <c r="MGU203" s="605"/>
      <c r="MGV203" s="605"/>
      <c r="MGW203" s="605"/>
      <c r="MGX203" s="605"/>
      <c r="MGY203" s="605"/>
      <c r="MGZ203" s="605"/>
      <c r="MHA203" s="605"/>
      <c r="MHB203" s="605"/>
      <c r="MHC203" s="605"/>
      <c r="MHD203" s="605"/>
      <c r="MHE203" s="605"/>
      <c r="MHF203" s="605"/>
      <c r="MHG203" s="605"/>
      <c r="MHH203" s="605"/>
      <c r="MHI203" s="605"/>
      <c r="MHJ203" s="605"/>
      <c r="MHK203" s="605"/>
      <c r="MHL203" s="605"/>
      <c r="MHM203" s="605"/>
      <c r="MHN203" s="605"/>
      <c r="MHO203" s="605"/>
      <c r="MHP203" s="605"/>
      <c r="MHQ203" s="605"/>
      <c r="MHR203" s="605"/>
      <c r="MHS203" s="605"/>
      <c r="MHT203" s="605"/>
      <c r="MHU203" s="605"/>
      <c r="MHV203" s="605"/>
      <c r="MHW203" s="605"/>
      <c r="MHX203" s="605"/>
      <c r="MHY203" s="605"/>
      <c r="MHZ203" s="605"/>
      <c r="MIA203" s="605"/>
      <c r="MIB203" s="605"/>
      <c r="MIC203" s="605"/>
      <c r="MID203" s="605"/>
      <c r="MIE203" s="605"/>
      <c r="MIF203" s="605"/>
      <c r="MIG203" s="605"/>
      <c r="MIH203" s="605"/>
      <c r="MII203" s="605"/>
      <c r="MIJ203" s="605"/>
      <c r="MIK203" s="605"/>
      <c r="MIL203" s="605"/>
      <c r="MIM203" s="605"/>
      <c r="MIN203" s="605"/>
      <c r="MIO203" s="605"/>
      <c r="MIP203" s="605"/>
      <c r="MIQ203" s="605"/>
      <c r="MIR203" s="605"/>
      <c r="MIS203" s="605"/>
      <c r="MIT203" s="605"/>
      <c r="MIU203" s="605"/>
      <c r="MIV203" s="605"/>
      <c r="MIW203" s="605"/>
      <c r="MIX203" s="605"/>
      <c r="MIY203" s="605"/>
      <c r="MIZ203" s="605"/>
      <c r="MJA203" s="605"/>
      <c r="MJB203" s="605"/>
      <c r="MJC203" s="605"/>
      <c r="MJD203" s="605"/>
      <c r="MJE203" s="605"/>
      <c r="MJF203" s="605"/>
      <c r="MJG203" s="605"/>
      <c r="MJH203" s="605"/>
      <c r="MJI203" s="605"/>
      <c r="MJJ203" s="605"/>
      <c r="MJK203" s="605"/>
      <c r="MJL203" s="605"/>
      <c r="MJM203" s="605"/>
      <c r="MJN203" s="605"/>
      <c r="MJO203" s="605"/>
      <c r="MJP203" s="605"/>
      <c r="MJQ203" s="605"/>
      <c r="MJR203" s="605"/>
      <c r="MJS203" s="605"/>
      <c r="MJT203" s="605"/>
      <c r="MJU203" s="605"/>
      <c r="MJV203" s="605"/>
      <c r="MJW203" s="605"/>
      <c r="MJX203" s="605"/>
      <c r="MJY203" s="605"/>
      <c r="MJZ203" s="605"/>
      <c r="MKA203" s="605"/>
      <c r="MKB203" s="605"/>
      <c r="MKC203" s="605"/>
      <c r="MKD203" s="605"/>
      <c r="MKE203" s="605"/>
      <c r="MKF203" s="605"/>
      <c r="MKG203" s="605"/>
      <c r="MKH203" s="605"/>
      <c r="MKI203" s="605"/>
      <c r="MKJ203" s="605"/>
      <c r="MKK203" s="605"/>
      <c r="MKL203" s="605"/>
      <c r="MKM203" s="605"/>
      <c r="MKN203" s="605"/>
      <c r="MKO203" s="605"/>
      <c r="MKP203" s="605"/>
      <c r="MKQ203" s="605"/>
      <c r="MKR203" s="605"/>
      <c r="MKS203" s="605"/>
      <c r="MKT203" s="605"/>
      <c r="MKU203" s="605"/>
      <c r="MKV203" s="605"/>
      <c r="MKW203" s="605"/>
      <c r="MKX203" s="605"/>
      <c r="MKY203" s="605"/>
      <c r="MKZ203" s="605"/>
      <c r="MLA203" s="605"/>
      <c r="MLB203" s="605"/>
      <c r="MLC203" s="605"/>
      <c r="MLD203" s="605"/>
      <c r="MLE203" s="605"/>
      <c r="MLF203" s="605"/>
      <c r="MLG203" s="605"/>
      <c r="MLH203" s="605"/>
      <c r="MLI203" s="605"/>
      <c r="MLJ203" s="605"/>
      <c r="MLK203" s="605"/>
      <c r="MLL203" s="605"/>
      <c r="MLM203" s="605"/>
      <c r="MLN203" s="605"/>
      <c r="MLO203" s="605"/>
      <c r="MLP203" s="605"/>
      <c r="MLQ203" s="605"/>
      <c r="MLR203" s="605"/>
      <c r="MLS203" s="605"/>
      <c r="MLT203" s="605"/>
      <c r="MLU203" s="605"/>
      <c r="MLV203" s="605"/>
      <c r="MLW203" s="605"/>
      <c r="MLX203" s="605"/>
      <c r="MLY203" s="605"/>
      <c r="MLZ203" s="605"/>
      <c r="MMA203" s="605"/>
      <c r="MMB203" s="605"/>
      <c r="MMC203" s="605"/>
      <c r="MMD203" s="605"/>
      <c r="MME203" s="605"/>
      <c r="MMF203" s="605"/>
      <c r="MMG203" s="605"/>
      <c r="MMH203" s="605"/>
      <c r="MMI203" s="605"/>
      <c r="MMJ203" s="605"/>
      <c r="MMK203" s="605"/>
      <c r="MML203" s="605"/>
      <c r="MMM203" s="605"/>
      <c r="MMN203" s="605"/>
      <c r="MMO203" s="605"/>
      <c r="MMP203" s="605"/>
      <c r="MMQ203" s="605"/>
      <c r="MMR203" s="605"/>
      <c r="MMS203" s="605"/>
      <c r="MMT203" s="605"/>
      <c r="MMU203" s="605"/>
      <c r="MMV203" s="605"/>
      <c r="MMW203" s="605"/>
      <c r="MMX203" s="605"/>
      <c r="MMY203" s="605"/>
      <c r="MMZ203" s="605"/>
      <c r="MNA203" s="605"/>
      <c r="MNB203" s="605"/>
      <c r="MNC203" s="605"/>
      <c r="MND203" s="605"/>
      <c r="MNE203" s="605"/>
      <c r="MNF203" s="605"/>
      <c r="MNG203" s="605"/>
      <c r="MNH203" s="605"/>
      <c r="MNI203" s="605"/>
      <c r="MNJ203" s="605"/>
      <c r="MNK203" s="605"/>
      <c r="MNL203" s="605"/>
      <c r="MNM203" s="605"/>
      <c r="MNN203" s="605"/>
      <c r="MNO203" s="605"/>
      <c r="MNP203" s="605"/>
      <c r="MNQ203" s="605"/>
      <c r="MNR203" s="605"/>
      <c r="MNS203" s="605"/>
      <c r="MNT203" s="605"/>
      <c r="MNU203" s="605"/>
      <c r="MNV203" s="605"/>
      <c r="MNW203" s="605"/>
      <c r="MNX203" s="605"/>
      <c r="MNY203" s="605"/>
      <c r="MNZ203" s="605"/>
      <c r="MOA203" s="605"/>
      <c r="MOB203" s="605"/>
      <c r="MOC203" s="605"/>
      <c r="MOD203" s="605"/>
      <c r="MOE203" s="605"/>
      <c r="MOF203" s="605"/>
      <c r="MOG203" s="605"/>
      <c r="MOH203" s="605"/>
      <c r="MOI203" s="605"/>
      <c r="MOJ203" s="605"/>
      <c r="MOK203" s="605"/>
      <c r="MOL203" s="605"/>
      <c r="MOM203" s="605"/>
      <c r="MON203" s="605"/>
      <c r="MOO203" s="605"/>
      <c r="MOP203" s="605"/>
      <c r="MOQ203" s="605"/>
      <c r="MOR203" s="605"/>
      <c r="MOS203" s="605"/>
      <c r="MOT203" s="605"/>
      <c r="MOU203" s="605"/>
      <c r="MOV203" s="605"/>
      <c r="MOW203" s="605"/>
      <c r="MOX203" s="605"/>
      <c r="MOY203" s="605"/>
      <c r="MOZ203" s="605"/>
      <c r="MPA203" s="605"/>
      <c r="MPB203" s="605"/>
      <c r="MPC203" s="605"/>
      <c r="MPD203" s="605"/>
      <c r="MPE203" s="605"/>
      <c r="MPF203" s="605"/>
      <c r="MPG203" s="605"/>
      <c r="MPH203" s="605"/>
      <c r="MPI203" s="605"/>
      <c r="MPJ203" s="605"/>
      <c r="MPK203" s="605"/>
      <c r="MPL203" s="605"/>
      <c r="MPM203" s="605"/>
      <c r="MPN203" s="605"/>
      <c r="MPO203" s="605"/>
      <c r="MPP203" s="605"/>
      <c r="MPQ203" s="605"/>
      <c r="MPR203" s="605"/>
      <c r="MPS203" s="605"/>
      <c r="MPT203" s="605"/>
      <c r="MPU203" s="605"/>
      <c r="MPV203" s="605"/>
      <c r="MPW203" s="605"/>
      <c r="MPX203" s="605"/>
      <c r="MPY203" s="605"/>
      <c r="MPZ203" s="605"/>
      <c r="MQA203" s="605"/>
      <c r="MQB203" s="605"/>
      <c r="MQC203" s="605"/>
      <c r="MQD203" s="605"/>
      <c r="MQE203" s="605"/>
      <c r="MQF203" s="605"/>
      <c r="MQG203" s="605"/>
      <c r="MQH203" s="605"/>
      <c r="MQI203" s="605"/>
      <c r="MQJ203" s="605"/>
      <c r="MQK203" s="605"/>
      <c r="MQL203" s="605"/>
      <c r="MQM203" s="605"/>
      <c r="MQN203" s="605"/>
      <c r="MQO203" s="605"/>
      <c r="MQP203" s="605"/>
      <c r="MQQ203" s="605"/>
      <c r="MQR203" s="605"/>
      <c r="MQS203" s="605"/>
      <c r="MQT203" s="605"/>
      <c r="MQU203" s="605"/>
      <c r="MQV203" s="605"/>
      <c r="MQW203" s="605"/>
      <c r="MQX203" s="605"/>
      <c r="MQY203" s="605"/>
      <c r="MQZ203" s="605"/>
      <c r="MRA203" s="605"/>
      <c r="MRB203" s="605"/>
      <c r="MRC203" s="605"/>
      <c r="MRD203" s="605"/>
      <c r="MRE203" s="605"/>
      <c r="MRF203" s="605"/>
      <c r="MRG203" s="605"/>
      <c r="MRH203" s="605"/>
      <c r="MRI203" s="605"/>
      <c r="MRJ203" s="605"/>
      <c r="MRK203" s="605"/>
      <c r="MRL203" s="605"/>
      <c r="MRM203" s="605"/>
      <c r="MRN203" s="605"/>
      <c r="MRO203" s="605"/>
      <c r="MRP203" s="605"/>
      <c r="MRQ203" s="605"/>
      <c r="MRR203" s="605"/>
      <c r="MRS203" s="605"/>
      <c r="MRT203" s="605"/>
      <c r="MRU203" s="605"/>
      <c r="MRV203" s="605"/>
      <c r="MRW203" s="605"/>
      <c r="MRX203" s="605"/>
      <c r="MRY203" s="605"/>
      <c r="MRZ203" s="605"/>
      <c r="MSA203" s="605"/>
      <c r="MSB203" s="605"/>
      <c r="MSC203" s="605"/>
      <c r="MSD203" s="605"/>
      <c r="MSE203" s="605"/>
      <c r="MSF203" s="605"/>
      <c r="MSG203" s="605"/>
      <c r="MSH203" s="605"/>
      <c r="MSI203" s="605"/>
      <c r="MSJ203" s="605"/>
      <c r="MSK203" s="605"/>
      <c r="MSL203" s="605"/>
      <c r="MSM203" s="605"/>
      <c r="MSN203" s="605"/>
      <c r="MSO203" s="605"/>
      <c r="MSP203" s="605"/>
      <c r="MSQ203" s="605"/>
      <c r="MSR203" s="605"/>
      <c r="MSS203" s="605"/>
      <c r="MST203" s="605"/>
      <c r="MSU203" s="605"/>
      <c r="MSV203" s="605"/>
      <c r="MSW203" s="605"/>
      <c r="MSX203" s="605"/>
      <c r="MSY203" s="605"/>
      <c r="MSZ203" s="605"/>
      <c r="MTA203" s="605"/>
      <c r="MTB203" s="605"/>
      <c r="MTC203" s="605"/>
      <c r="MTD203" s="605"/>
      <c r="MTE203" s="605"/>
      <c r="MTF203" s="605"/>
      <c r="MTG203" s="605"/>
      <c r="MTH203" s="605"/>
      <c r="MTI203" s="605"/>
      <c r="MTJ203" s="605"/>
      <c r="MTK203" s="605"/>
      <c r="MTL203" s="605"/>
      <c r="MTM203" s="605"/>
      <c r="MTN203" s="605"/>
      <c r="MTO203" s="605"/>
      <c r="MTP203" s="605"/>
      <c r="MTQ203" s="605"/>
      <c r="MTR203" s="605"/>
      <c r="MTS203" s="605"/>
      <c r="MTT203" s="605"/>
      <c r="MTU203" s="605"/>
      <c r="MTV203" s="605"/>
      <c r="MTW203" s="605"/>
      <c r="MTX203" s="605"/>
      <c r="MTY203" s="605"/>
      <c r="MTZ203" s="605"/>
      <c r="MUA203" s="605"/>
      <c r="MUB203" s="605"/>
      <c r="MUC203" s="605"/>
      <c r="MUD203" s="605"/>
      <c r="MUE203" s="605"/>
      <c r="MUF203" s="605"/>
      <c r="MUG203" s="605"/>
      <c r="MUH203" s="605"/>
      <c r="MUI203" s="605"/>
      <c r="MUJ203" s="605"/>
      <c r="MUK203" s="605"/>
      <c r="MUL203" s="605"/>
      <c r="MUM203" s="605"/>
      <c r="MUN203" s="605"/>
      <c r="MUO203" s="605"/>
      <c r="MUP203" s="605"/>
      <c r="MUQ203" s="605"/>
      <c r="MUR203" s="605"/>
      <c r="MUS203" s="605"/>
      <c r="MUT203" s="605"/>
      <c r="MUU203" s="605"/>
      <c r="MUV203" s="605"/>
      <c r="MUW203" s="605"/>
      <c r="MUX203" s="605"/>
      <c r="MUY203" s="605"/>
      <c r="MUZ203" s="605"/>
      <c r="MVA203" s="605"/>
      <c r="MVB203" s="605"/>
      <c r="MVC203" s="605"/>
      <c r="MVD203" s="605"/>
      <c r="MVE203" s="605"/>
      <c r="MVF203" s="605"/>
      <c r="MVG203" s="605"/>
      <c r="MVH203" s="605"/>
      <c r="MVI203" s="605"/>
      <c r="MVJ203" s="605"/>
      <c r="MVK203" s="605"/>
      <c r="MVL203" s="605"/>
      <c r="MVM203" s="605"/>
      <c r="MVN203" s="605"/>
      <c r="MVO203" s="605"/>
      <c r="MVP203" s="605"/>
      <c r="MVQ203" s="605"/>
      <c r="MVR203" s="605"/>
      <c r="MVS203" s="605"/>
      <c r="MVT203" s="605"/>
      <c r="MVU203" s="605"/>
      <c r="MVV203" s="605"/>
      <c r="MVW203" s="605"/>
      <c r="MVX203" s="605"/>
      <c r="MVY203" s="605"/>
      <c r="MVZ203" s="605"/>
      <c r="MWA203" s="605"/>
      <c r="MWB203" s="605"/>
      <c r="MWC203" s="605"/>
      <c r="MWD203" s="605"/>
      <c r="MWE203" s="605"/>
      <c r="MWF203" s="605"/>
      <c r="MWG203" s="605"/>
      <c r="MWH203" s="605"/>
      <c r="MWI203" s="605"/>
      <c r="MWJ203" s="605"/>
      <c r="MWK203" s="605"/>
      <c r="MWL203" s="605"/>
      <c r="MWM203" s="605"/>
      <c r="MWN203" s="605"/>
      <c r="MWO203" s="605"/>
      <c r="MWP203" s="605"/>
      <c r="MWQ203" s="605"/>
      <c r="MWR203" s="605"/>
      <c r="MWS203" s="605"/>
      <c r="MWT203" s="605"/>
      <c r="MWU203" s="605"/>
      <c r="MWV203" s="605"/>
      <c r="MWW203" s="605"/>
      <c r="MWX203" s="605"/>
      <c r="MWY203" s="605"/>
      <c r="MWZ203" s="605"/>
      <c r="MXA203" s="605"/>
      <c r="MXB203" s="605"/>
      <c r="MXC203" s="605"/>
      <c r="MXD203" s="605"/>
      <c r="MXE203" s="605"/>
      <c r="MXF203" s="605"/>
      <c r="MXG203" s="605"/>
      <c r="MXH203" s="605"/>
      <c r="MXI203" s="605"/>
      <c r="MXJ203" s="605"/>
      <c r="MXK203" s="605"/>
      <c r="MXL203" s="605"/>
      <c r="MXM203" s="605"/>
      <c r="MXN203" s="605"/>
      <c r="MXO203" s="605"/>
      <c r="MXP203" s="605"/>
      <c r="MXQ203" s="605"/>
      <c r="MXR203" s="605"/>
      <c r="MXS203" s="605"/>
      <c r="MXT203" s="605"/>
      <c r="MXU203" s="605"/>
      <c r="MXV203" s="605"/>
      <c r="MXW203" s="605"/>
      <c r="MXX203" s="605"/>
      <c r="MXY203" s="605"/>
      <c r="MXZ203" s="605"/>
      <c r="MYA203" s="605"/>
      <c r="MYB203" s="605"/>
      <c r="MYC203" s="605"/>
      <c r="MYD203" s="605"/>
      <c r="MYE203" s="605"/>
      <c r="MYF203" s="605"/>
      <c r="MYG203" s="605"/>
      <c r="MYH203" s="605"/>
      <c r="MYI203" s="605"/>
      <c r="MYJ203" s="605"/>
      <c r="MYK203" s="605"/>
      <c r="MYL203" s="605"/>
      <c r="MYM203" s="605"/>
      <c r="MYN203" s="605"/>
      <c r="MYO203" s="605"/>
      <c r="MYP203" s="605"/>
      <c r="MYQ203" s="605"/>
      <c r="MYR203" s="605"/>
      <c r="MYS203" s="605"/>
      <c r="MYT203" s="605"/>
      <c r="MYU203" s="605"/>
      <c r="MYV203" s="605"/>
      <c r="MYW203" s="605"/>
      <c r="MYX203" s="605"/>
      <c r="MYY203" s="605"/>
      <c r="MYZ203" s="605"/>
      <c r="MZA203" s="605"/>
      <c r="MZB203" s="605"/>
      <c r="MZC203" s="605"/>
      <c r="MZD203" s="605"/>
      <c r="MZE203" s="605"/>
      <c r="MZF203" s="605"/>
      <c r="MZG203" s="605"/>
      <c r="MZH203" s="605"/>
      <c r="MZI203" s="605"/>
      <c r="MZJ203" s="605"/>
      <c r="MZK203" s="605"/>
      <c r="MZL203" s="605"/>
      <c r="MZM203" s="605"/>
      <c r="MZN203" s="605"/>
      <c r="MZO203" s="605"/>
      <c r="MZP203" s="605"/>
      <c r="MZQ203" s="605"/>
      <c r="MZR203" s="605"/>
      <c r="MZS203" s="605"/>
      <c r="MZT203" s="605"/>
      <c r="MZU203" s="605"/>
      <c r="MZV203" s="605"/>
      <c r="MZW203" s="605"/>
      <c r="MZX203" s="605"/>
      <c r="MZY203" s="605"/>
      <c r="MZZ203" s="605"/>
      <c r="NAA203" s="605"/>
      <c r="NAB203" s="605"/>
      <c r="NAC203" s="605"/>
      <c r="NAD203" s="605"/>
      <c r="NAE203" s="605"/>
      <c r="NAF203" s="605"/>
      <c r="NAG203" s="605"/>
      <c r="NAH203" s="605"/>
      <c r="NAI203" s="605"/>
      <c r="NAJ203" s="605"/>
      <c r="NAK203" s="605"/>
      <c r="NAL203" s="605"/>
      <c r="NAM203" s="605"/>
      <c r="NAN203" s="605"/>
      <c r="NAO203" s="605"/>
      <c r="NAP203" s="605"/>
      <c r="NAQ203" s="605"/>
      <c r="NAR203" s="605"/>
      <c r="NAS203" s="605"/>
      <c r="NAT203" s="605"/>
      <c r="NAU203" s="605"/>
      <c r="NAV203" s="605"/>
      <c r="NAW203" s="605"/>
      <c r="NAX203" s="605"/>
      <c r="NAY203" s="605"/>
      <c r="NAZ203" s="605"/>
      <c r="NBA203" s="605"/>
      <c r="NBB203" s="605"/>
      <c r="NBC203" s="605"/>
      <c r="NBD203" s="605"/>
      <c r="NBE203" s="605"/>
      <c r="NBF203" s="605"/>
      <c r="NBG203" s="605"/>
      <c r="NBH203" s="605"/>
      <c r="NBI203" s="605"/>
      <c r="NBJ203" s="605"/>
      <c r="NBK203" s="605"/>
      <c r="NBL203" s="605"/>
      <c r="NBM203" s="605"/>
      <c r="NBN203" s="605"/>
      <c r="NBO203" s="605"/>
      <c r="NBP203" s="605"/>
      <c r="NBQ203" s="605"/>
      <c r="NBR203" s="605"/>
      <c r="NBS203" s="605"/>
      <c r="NBT203" s="605"/>
      <c r="NBU203" s="605"/>
      <c r="NBV203" s="605"/>
      <c r="NBW203" s="605"/>
      <c r="NBX203" s="605"/>
      <c r="NBY203" s="605"/>
      <c r="NBZ203" s="605"/>
      <c r="NCA203" s="605"/>
      <c r="NCB203" s="605"/>
      <c r="NCC203" s="605"/>
      <c r="NCD203" s="605"/>
      <c r="NCE203" s="605"/>
      <c r="NCF203" s="605"/>
      <c r="NCG203" s="605"/>
      <c r="NCH203" s="605"/>
      <c r="NCI203" s="605"/>
      <c r="NCJ203" s="605"/>
      <c r="NCK203" s="605"/>
      <c r="NCL203" s="605"/>
      <c r="NCM203" s="605"/>
      <c r="NCN203" s="605"/>
      <c r="NCO203" s="605"/>
      <c r="NCP203" s="605"/>
      <c r="NCQ203" s="605"/>
      <c r="NCR203" s="605"/>
      <c r="NCS203" s="605"/>
      <c r="NCT203" s="605"/>
      <c r="NCU203" s="605"/>
      <c r="NCV203" s="605"/>
      <c r="NCW203" s="605"/>
      <c r="NCX203" s="605"/>
      <c r="NCY203" s="605"/>
      <c r="NCZ203" s="605"/>
      <c r="NDA203" s="605"/>
      <c r="NDB203" s="605"/>
      <c r="NDC203" s="605"/>
      <c r="NDD203" s="605"/>
      <c r="NDE203" s="605"/>
      <c r="NDF203" s="605"/>
      <c r="NDG203" s="605"/>
      <c r="NDH203" s="605"/>
      <c r="NDI203" s="605"/>
      <c r="NDJ203" s="605"/>
      <c r="NDK203" s="605"/>
      <c r="NDL203" s="605"/>
      <c r="NDM203" s="605"/>
      <c r="NDN203" s="605"/>
      <c r="NDO203" s="605"/>
      <c r="NDP203" s="605"/>
      <c r="NDQ203" s="605"/>
      <c r="NDR203" s="605"/>
      <c r="NDS203" s="605"/>
      <c r="NDT203" s="605"/>
      <c r="NDU203" s="605"/>
      <c r="NDV203" s="605"/>
      <c r="NDW203" s="605"/>
      <c r="NDX203" s="605"/>
      <c r="NDY203" s="605"/>
      <c r="NDZ203" s="605"/>
      <c r="NEA203" s="605"/>
      <c r="NEB203" s="605"/>
      <c r="NEC203" s="605"/>
      <c r="NED203" s="605"/>
      <c r="NEE203" s="605"/>
      <c r="NEF203" s="605"/>
      <c r="NEG203" s="605"/>
      <c r="NEH203" s="605"/>
      <c r="NEI203" s="605"/>
      <c r="NEJ203" s="605"/>
      <c r="NEK203" s="605"/>
      <c r="NEL203" s="605"/>
      <c r="NEM203" s="605"/>
      <c r="NEN203" s="605"/>
      <c r="NEO203" s="605"/>
      <c r="NEP203" s="605"/>
      <c r="NEQ203" s="605"/>
      <c r="NER203" s="605"/>
      <c r="NES203" s="605"/>
      <c r="NET203" s="605"/>
      <c r="NEU203" s="605"/>
      <c r="NEV203" s="605"/>
      <c r="NEW203" s="605"/>
      <c r="NEX203" s="605"/>
      <c r="NEY203" s="605"/>
      <c r="NEZ203" s="605"/>
      <c r="NFA203" s="605"/>
      <c r="NFB203" s="605"/>
      <c r="NFC203" s="605"/>
      <c r="NFD203" s="605"/>
      <c r="NFE203" s="605"/>
      <c r="NFF203" s="605"/>
      <c r="NFG203" s="605"/>
      <c r="NFH203" s="605"/>
      <c r="NFI203" s="605"/>
      <c r="NFJ203" s="605"/>
      <c r="NFK203" s="605"/>
      <c r="NFL203" s="605"/>
      <c r="NFM203" s="605"/>
      <c r="NFN203" s="605"/>
      <c r="NFO203" s="605"/>
      <c r="NFP203" s="605"/>
      <c r="NFQ203" s="605"/>
      <c r="NFR203" s="605"/>
      <c r="NFS203" s="605"/>
      <c r="NFT203" s="605"/>
      <c r="NFU203" s="605"/>
      <c r="NFV203" s="605"/>
      <c r="NFW203" s="605"/>
      <c r="NFX203" s="605"/>
      <c r="NFY203" s="605"/>
      <c r="NFZ203" s="605"/>
      <c r="NGA203" s="605"/>
      <c r="NGB203" s="605"/>
      <c r="NGC203" s="605"/>
      <c r="NGD203" s="605"/>
      <c r="NGE203" s="605"/>
      <c r="NGF203" s="605"/>
      <c r="NGG203" s="605"/>
      <c r="NGH203" s="605"/>
      <c r="NGI203" s="605"/>
      <c r="NGJ203" s="605"/>
      <c r="NGK203" s="605"/>
      <c r="NGL203" s="605"/>
      <c r="NGM203" s="605"/>
      <c r="NGN203" s="605"/>
      <c r="NGO203" s="605"/>
      <c r="NGP203" s="605"/>
      <c r="NGQ203" s="605"/>
      <c r="NGR203" s="605"/>
      <c r="NGS203" s="605"/>
      <c r="NGT203" s="605"/>
      <c r="NGU203" s="605"/>
      <c r="NGV203" s="605"/>
      <c r="NGW203" s="605"/>
      <c r="NGX203" s="605"/>
      <c r="NGY203" s="605"/>
      <c r="NGZ203" s="605"/>
      <c r="NHA203" s="605"/>
      <c r="NHB203" s="605"/>
      <c r="NHC203" s="605"/>
      <c r="NHD203" s="605"/>
      <c r="NHE203" s="605"/>
      <c r="NHF203" s="605"/>
      <c r="NHG203" s="605"/>
      <c r="NHH203" s="605"/>
      <c r="NHI203" s="605"/>
      <c r="NHJ203" s="605"/>
      <c r="NHK203" s="605"/>
      <c r="NHL203" s="605"/>
      <c r="NHM203" s="605"/>
      <c r="NHN203" s="605"/>
      <c r="NHO203" s="605"/>
      <c r="NHP203" s="605"/>
      <c r="NHQ203" s="605"/>
      <c r="NHR203" s="605"/>
      <c r="NHS203" s="605"/>
      <c r="NHT203" s="605"/>
      <c r="NHU203" s="605"/>
      <c r="NHV203" s="605"/>
      <c r="NHW203" s="605"/>
      <c r="NHX203" s="605"/>
      <c r="NHY203" s="605"/>
      <c r="NHZ203" s="605"/>
      <c r="NIA203" s="605"/>
      <c r="NIB203" s="605"/>
      <c r="NIC203" s="605"/>
      <c r="NID203" s="605"/>
      <c r="NIE203" s="605"/>
      <c r="NIF203" s="605"/>
      <c r="NIG203" s="605"/>
      <c r="NIH203" s="605"/>
      <c r="NII203" s="605"/>
      <c r="NIJ203" s="605"/>
      <c r="NIK203" s="605"/>
      <c r="NIL203" s="605"/>
      <c r="NIM203" s="605"/>
      <c r="NIN203" s="605"/>
      <c r="NIO203" s="605"/>
      <c r="NIP203" s="605"/>
      <c r="NIQ203" s="605"/>
      <c r="NIR203" s="605"/>
      <c r="NIS203" s="605"/>
      <c r="NIT203" s="605"/>
      <c r="NIU203" s="605"/>
      <c r="NIV203" s="605"/>
      <c r="NIW203" s="605"/>
      <c r="NIX203" s="605"/>
      <c r="NIY203" s="605"/>
      <c r="NIZ203" s="605"/>
      <c r="NJA203" s="605"/>
      <c r="NJB203" s="605"/>
      <c r="NJC203" s="605"/>
      <c r="NJD203" s="605"/>
      <c r="NJE203" s="605"/>
      <c r="NJF203" s="605"/>
      <c r="NJG203" s="605"/>
      <c r="NJH203" s="605"/>
      <c r="NJI203" s="605"/>
      <c r="NJJ203" s="605"/>
      <c r="NJK203" s="605"/>
      <c r="NJL203" s="605"/>
      <c r="NJM203" s="605"/>
      <c r="NJN203" s="605"/>
      <c r="NJO203" s="605"/>
      <c r="NJP203" s="605"/>
      <c r="NJQ203" s="605"/>
      <c r="NJR203" s="605"/>
      <c r="NJS203" s="605"/>
      <c r="NJT203" s="605"/>
      <c r="NJU203" s="605"/>
      <c r="NJV203" s="605"/>
      <c r="NJW203" s="605"/>
      <c r="NJX203" s="605"/>
      <c r="NJY203" s="605"/>
      <c r="NJZ203" s="605"/>
      <c r="NKA203" s="605"/>
      <c r="NKB203" s="605"/>
      <c r="NKC203" s="605"/>
      <c r="NKD203" s="605"/>
      <c r="NKE203" s="605"/>
      <c r="NKF203" s="605"/>
      <c r="NKG203" s="605"/>
      <c r="NKH203" s="605"/>
      <c r="NKI203" s="605"/>
      <c r="NKJ203" s="605"/>
      <c r="NKK203" s="605"/>
      <c r="NKL203" s="605"/>
      <c r="NKM203" s="605"/>
      <c r="NKN203" s="605"/>
      <c r="NKO203" s="605"/>
      <c r="NKP203" s="605"/>
      <c r="NKQ203" s="605"/>
      <c r="NKR203" s="605"/>
      <c r="NKS203" s="605"/>
      <c r="NKT203" s="605"/>
      <c r="NKU203" s="605"/>
      <c r="NKV203" s="605"/>
      <c r="NKW203" s="605"/>
      <c r="NKX203" s="605"/>
      <c r="NKY203" s="605"/>
      <c r="NKZ203" s="605"/>
      <c r="NLA203" s="605"/>
      <c r="NLB203" s="605"/>
      <c r="NLC203" s="605"/>
      <c r="NLD203" s="605"/>
      <c r="NLE203" s="605"/>
      <c r="NLF203" s="605"/>
      <c r="NLG203" s="605"/>
      <c r="NLH203" s="605"/>
      <c r="NLI203" s="605"/>
      <c r="NLJ203" s="605"/>
      <c r="NLK203" s="605"/>
      <c r="NLL203" s="605"/>
      <c r="NLM203" s="605"/>
      <c r="NLN203" s="605"/>
      <c r="NLO203" s="605"/>
      <c r="NLP203" s="605"/>
      <c r="NLQ203" s="605"/>
      <c r="NLR203" s="605"/>
      <c r="NLS203" s="605"/>
      <c r="NLT203" s="605"/>
      <c r="NLU203" s="605"/>
      <c r="NLV203" s="605"/>
      <c r="NLW203" s="605"/>
      <c r="NLX203" s="605"/>
      <c r="NLY203" s="605"/>
      <c r="NLZ203" s="605"/>
      <c r="NMA203" s="605"/>
      <c r="NMB203" s="605"/>
      <c r="NMC203" s="605"/>
      <c r="NMD203" s="605"/>
      <c r="NME203" s="605"/>
      <c r="NMF203" s="605"/>
      <c r="NMG203" s="605"/>
      <c r="NMH203" s="605"/>
      <c r="NMI203" s="605"/>
      <c r="NMJ203" s="605"/>
      <c r="NMK203" s="605"/>
      <c r="NML203" s="605"/>
      <c r="NMM203" s="605"/>
      <c r="NMN203" s="605"/>
      <c r="NMO203" s="605"/>
      <c r="NMP203" s="605"/>
      <c r="NMQ203" s="605"/>
      <c r="NMR203" s="605"/>
      <c r="NMS203" s="605"/>
      <c r="NMT203" s="605"/>
      <c r="NMU203" s="605"/>
      <c r="NMV203" s="605"/>
      <c r="NMW203" s="605"/>
      <c r="NMX203" s="605"/>
      <c r="NMY203" s="605"/>
      <c r="NMZ203" s="605"/>
      <c r="NNA203" s="605"/>
      <c r="NNB203" s="605"/>
      <c r="NNC203" s="605"/>
      <c r="NND203" s="605"/>
      <c r="NNE203" s="605"/>
      <c r="NNF203" s="605"/>
      <c r="NNG203" s="605"/>
      <c r="NNH203" s="605"/>
      <c r="NNI203" s="605"/>
      <c r="NNJ203" s="605"/>
      <c r="NNK203" s="605"/>
      <c r="NNL203" s="605"/>
      <c r="NNM203" s="605"/>
      <c r="NNN203" s="605"/>
      <c r="NNO203" s="605"/>
      <c r="NNP203" s="605"/>
      <c r="NNQ203" s="605"/>
      <c r="NNR203" s="605"/>
      <c r="NNS203" s="605"/>
      <c r="NNT203" s="605"/>
      <c r="NNU203" s="605"/>
      <c r="NNV203" s="605"/>
      <c r="NNW203" s="605"/>
      <c r="NNX203" s="605"/>
      <c r="NNY203" s="605"/>
      <c r="NNZ203" s="605"/>
      <c r="NOA203" s="605"/>
      <c r="NOB203" s="605"/>
      <c r="NOC203" s="605"/>
      <c r="NOD203" s="605"/>
      <c r="NOE203" s="605"/>
      <c r="NOF203" s="605"/>
      <c r="NOG203" s="605"/>
      <c r="NOH203" s="605"/>
      <c r="NOI203" s="605"/>
      <c r="NOJ203" s="605"/>
      <c r="NOK203" s="605"/>
      <c r="NOL203" s="605"/>
      <c r="NOM203" s="605"/>
      <c r="NON203" s="605"/>
      <c r="NOO203" s="605"/>
      <c r="NOP203" s="605"/>
      <c r="NOQ203" s="605"/>
      <c r="NOR203" s="605"/>
      <c r="NOS203" s="605"/>
      <c r="NOT203" s="605"/>
      <c r="NOU203" s="605"/>
      <c r="NOV203" s="605"/>
      <c r="NOW203" s="605"/>
      <c r="NOX203" s="605"/>
      <c r="NOY203" s="605"/>
      <c r="NOZ203" s="605"/>
      <c r="NPA203" s="605"/>
      <c r="NPB203" s="605"/>
      <c r="NPC203" s="605"/>
      <c r="NPD203" s="605"/>
      <c r="NPE203" s="605"/>
      <c r="NPF203" s="605"/>
      <c r="NPG203" s="605"/>
      <c r="NPH203" s="605"/>
      <c r="NPI203" s="605"/>
      <c r="NPJ203" s="605"/>
      <c r="NPK203" s="605"/>
      <c r="NPL203" s="605"/>
      <c r="NPM203" s="605"/>
      <c r="NPN203" s="605"/>
      <c r="NPO203" s="605"/>
      <c r="NPP203" s="605"/>
      <c r="NPQ203" s="605"/>
      <c r="NPR203" s="605"/>
      <c r="NPS203" s="605"/>
      <c r="NPT203" s="605"/>
      <c r="NPU203" s="605"/>
      <c r="NPV203" s="605"/>
      <c r="NPW203" s="605"/>
      <c r="NPX203" s="605"/>
      <c r="NPY203" s="605"/>
      <c r="NPZ203" s="605"/>
      <c r="NQA203" s="605"/>
      <c r="NQB203" s="605"/>
      <c r="NQC203" s="605"/>
      <c r="NQD203" s="605"/>
      <c r="NQE203" s="605"/>
      <c r="NQF203" s="605"/>
      <c r="NQG203" s="605"/>
      <c r="NQH203" s="605"/>
      <c r="NQI203" s="605"/>
      <c r="NQJ203" s="605"/>
      <c r="NQK203" s="605"/>
      <c r="NQL203" s="605"/>
      <c r="NQM203" s="605"/>
      <c r="NQN203" s="605"/>
      <c r="NQO203" s="605"/>
      <c r="NQP203" s="605"/>
      <c r="NQQ203" s="605"/>
      <c r="NQR203" s="605"/>
      <c r="NQS203" s="605"/>
      <c r="NQT203" s="605"/>
      <c r="NQU203" s="605"/>
      <c r="NQV203" s="605"/>
      <c r="NQW203" s="605"/>
      <c r="NQX203" s="605"/>
      <c r="NQY203" s="605"/>
      <c r="NQZ203" s="605"/>
      <c r="NRA203" s="605"/>
      <c r="NRB203" s="605"/>
      <c r="NRC203" s="605"/>
      <c r="NRD203" s="605"/>
      <c r="NRE203" s="605"/>
      <c r="NRF203" s="605"/>
      <c r="NRG203" s="605"/>
      <c r="NRH203" s="605"/>
      <c r="NRI203" s="605"/>
      <c r="NRJ203" s="605"/>
      <c r="NRK203" s="605"/>
      <c r="NRL203" s="605"/>
      <c r="NRM203" s="605"/>
      <c r="NRN203" s="605"/>
      <c r="NRO203" s="605"/>
      <c r="NRP203" s="605"/>
      <c r="NRQ203" s="605"/>
      <c r="NRR203" s="605"/>
      <c r="NRS203" s="605"/>
      <c r="NRT203" s="605"/>
      <c r="NRU203" s="605"/>
      <c r="NRV203" s="605"/>
      <c r="NRW203" s="605"/>
      <c r="NRX203" s="605"/>
      <c r="NRY203" s="605"/>
      <c r="NRZ203" s="605"/>
      <c r="NSA203" s="605"/>
      <c r="NSB203" s="605"/>
      <c r="NSC203" s="605"/>
      <c r="NSD203" s="605"/>
      <c r="NSE203" s="605"/>
      <c r="NSF203" s="605"/>
      <c r="NSG203" s="605"/>
      <c r="NSH203" s="605"/>
      <c r="NSI203" s="605"/>
      <c r="NSJ203" s="605"/>
      <c r="NSK203" s="605"/>
      <c r="NSL203" s="605"/>
      <c r="NSM203" s="605"/>
      <c r="NSN203" s="605"/>
      <c r="NSO203" s="605"/>
      <c r="NSP203" s="605"/>
      <c r="NSQ203" s="605"/>
      <c r="NSR203" s="605"/>
      <c r="NSS203" s="605"/>
      <c r="NST203" s="605"/>
      <c r="NSU203" s="605"/>
      <c r="NSV203" s="605"/>
      <c r="NSW203" s="605"/>
      <c r="NSX203" s="605"/>
      <c r="NSY203" s="605"/>
      <c r="NSZ203" s="605"/>
      <c r="NTA203" s="605"/>
      <c r="NTB203" s="605"/>
      <c r="NTC203" s="605"/>
      <c r="NTD203" s="605"/>
      <c r="NTE203" s="605"/>
      <c r="NTF203" s="605"/>
      <c r="NTG203" s="605"/>
      <c r="NTH203" s="605"/>
      <c r="NTI203" s="605"/>
      <c r="NTJ203" s="605"/>
      <c r="NTK203" s="605"/>
      <c r="NTL203" s="605"/>
      <c r="NTM203" s="605"/>
      <c r="NTN203" s="605"/>
      <c r="NTO203" s="605"/>
      <c r="NTP203" s="605"/>
      <c r="NTQ203" s="605"/>
      <c r="NTR203" s="605"/>
      <c r="NTS203" s="605"/>
      <c r="NTT203" s="605"/>
      <c r="NTU203" s="605"/>
      <c r="NTV203" s="605"/>
      <c r="NTW203" s="605"/>
      <c r="NTX203" s="605"/>
      <c r="NTY203" s="605"/>
      <c r="NTZ203" s="605"/>
      <c r="NUA203" s="605"/>
      <c r="NUB203" s="605"/>
      <c r="NUC203" s="605"/>
      <c r="NUD203" s="605"/>
      <c r="NUE203" s="605"/>
      <c r="NUF203" s="605"/>
      <c r="NUG203" s="605"/>
      <c r="NUH203" s="605"/>
      <c r="NUI203" s="605"/>
      <c r="NUJ203" s="605"/>
      <c r="NUK203" s="605"/>
      <c r="NUL203" s="605"/>
      <c r="NUM203" s="605"/>
      <c r="NUN203" s="605"/>
      <c r="NUO203" s="605"/>
      <c r="NUP203" s="605"/>
      <c r="NUQ203" s="605"/>
      <c r="NUR203" s="605"/>
      <c r="NUS203" s="605"/>
      <c r="NUT203" s="605"/>
      <c r="NUU203" s="605"/>
      <c r="NUV203" s="605"/>
      <c r="NUW203" s="605"/>
      <c r="NUX203" s="605"/>
      <c r="NUY203" s="605"/>
      <c r="NUZ203" s="605"/>
      <c r="NVA203" s="605"/>
      <c r="NVB203" s="605"/>
      <c r="NVC203" s="605"/>
      <c r="NVD203" s="605"/>
      <c r="NVE203" s="605"/>
      <c r="NVF203" s="605"/>
      <c r="NVG203" s="605"/>
      <c r="NVH203" s="605"/>
      <c r="NVI203" s="605"/>
      <c r="NVJ203" s="605"/>
      <c r="NVK203" s="605"/>
      <c r="NVL203" s="605"/>
      <c r="NVM203" s="605"/>
      <c r="NVN203" s="605"/>
      <c r="NVO203" s="605"/>
      <c r="NVP203" s="605"/>
      <c r="NVQ203" s="605"/>
      <c r="NVR203" s="605"/>
      <c r="NVS203" s="605"/>
      <c r="NVT203" s="605"/>
      <c r="NVU203" s="605"/>
      <c r="NVV203" s="605"/>
      <c r="NVW203" s="605"/>
      <c r="NVX203" s="605"/>
      <c r="NVY203" s="605"/>
      <c r="NVZ203" s="605"/>
      <c r="NWA203" s="605"/>
      <c r="NWB203" s="605"/>
      <c r="NWC203" s="605"/>
      <c r="NWD203" s="605"/>
      <c r="NWE203" s="605"/>
      <c r="NWF203" s="605"/>
      <c r="NWG203" s="605"/>
      <c r="NWH203" s="605"/>
      <c r="NWI203" s="605"/>
      <c r="NWJ203" s="605"/>
      <c r="NWK203" s="605"/>
      <c r="NWL203" s="605"/>
      <c r="NWM203" s="605"/>
      <c r="NWN203" s="605"/>
      <c r="NWO203" s="605"/>
      <c r="NWP203" s="605"/>
      <c r="NWQ203" s="605"/>
      <c r="NWR203" s="605"/>
      <c r="NWS203" s="605"/>
      <c r="NWT203" s="605"/>
      <c r="NWU203" s="605"/>
      <c r="NWV203" s="605"/>
      <c r="NWW203" s="605"/>
      <c r="NWX203" s="605"/>
      <c r="NWY203" s="605"/>
      <c r="NWZ203" s="605"/>
      <c r="NXA203" s="605"/>
      <c r="NXB203" s="605"/>
      <c r="NXC203" s="605"/>
      <c r="NXD203" s="605"/>
      <c r="NXE203" s="605"/>
      <c r="NXF203" s="605"/>
      <c r="NXG203" s="605"/>
      <c r="NXH203" s="605"/>
      <c r="NXI203" s="605"/>
      <c r="NXJ203" s="605"/>
      <c r="NXK203" s="605"/>
      <c r="NXL203" s="605"/>
      <c r="NXM203" s="605"/>
      <c r="NXN203" s="605"/>
      <c r="NXO203" s="605"/>
      <c r="NXP203" s="605"/>
      <c r="NXQ203" s="605"/>
      <c r="NXR203" s="605"/>
      <c r="NXS203" s="605"/>
      <c r="NXT203" s="605"/>
      <c r="NXU203" s="605"/>
      <c r="NXV203" s="605"/>
      <c r="NXW203" s="605"/>
      <c r="NXX203" s="605"/>
      <c r="NXY203" s="605"/>
      <c r="NXZ203" s="605"/>
      <c r="NYA203" s="605"/>
      <c r="NYB203" s="605"/>
      <c r="NYC203" s="605"/>
      <c r="NYD203" s="605"/>
      <c r="NYE203" s="605"/>
      <c r="NYF203" s="605"/>
      <c r="NYG203" s="605"/>
      <c r="NYH203" s="605"/>
      <c r="NYI203" s="605"/>
      <c r="NYJ203" s="605"/>
      <c r="NYK203" s="605"/>
      <c r="NYL203" s="605"/>
      <c r="NYM203" s="605"/>
      <c r="NYN203" s="605"/>
      <c r="NYO203" s="605"/>
      <c r="NYP203" s="605"/>
      <c r="NYQ203" s="605"/>
      <c r="NYR203" s="605"/>
      <c r="NYS203" s="605"/>
      <c r="NYT203" s="605"/>
      <c r="NYU203" s="605"/>
      <c r="NYV203" s="605"/>
      <c r="NYW203" s="605"/>
      <c r="NYX203" s="605"/>
      <c r="NYY203" s="605"/>
      <c r="NYZ203" s="605"/>
      <c r="NZA203" s="605"/>
      <c r="NZB203" s="605"/>
      <c r="NZC203" s="605"/>
      <c r="NZD203" s="605"/>
      <c r="NZE203" s="605"/>
      <c r="NZF203" s="605"/>
      <c r="NZG203" s="605"/>
      <c r="NZH203" s="605"/>
      <c r="NZI203" s="605"/>
      <c r="NZJ203" s="605"/>
      <c r="NZK203" s="605"/>
      <c r="NZL203" s="605"/>
      <c r="NZM203" s="605"/>
      <c r="NZN203" s="605"/>
      <c r="NZO203" s="605"/>
      <c r="NZP203" s="605"/>
      <c r="NZQ203" s="605"/>
      <c r="NZR203" s="605"/>
      <c r="NZS203" s="605"/>
      <c r="NZT203" s="605"/>
      <c r="NZU203" s="605"/>
      <c r="NZV203" s="605"/>
      <c r="NZW203" s="605"/>
      <c r="NZX203" s="605"/>
      <c r="NZY203" s="605"/>
      <c r="NZZ203" s="605"/>
      <c r="OAA203" s="605"/>
      <c r="OAB203" s="605"/>
      <c r="OAC203" s="605"/>
      <c r="OAD203" s="605"/>
      <c r="OAE203" s="605"/>
      <c r="OAF203" s="605"/>
      <c r="OAG203" s="605"/>
      <c r="OAH203" s="605"/>
      <c r="OAI203" s="605"/>
      <c r="OAJ203" s="605"/>
      <c r="OAK203" s="605"/>
      <c r="OAL203" s="605"/>
      <c r="OAM203" s="605"/>
      <c r="OAN203" s="605"/>
      <c r="OAO203" s="605"/>
      <c r="OAP203" s="605"/>
      <c r="OAQ203" s="605"/>
      <c r="OAR203" s="605"/>
      <c r="OAS203" s="605"/>
      <c r="OAT203" s="605"/>
      <c r="OAU203" s="605"/>
      <c r="OAV203" s="605"/>
      <c r="OAW203" s="605"/>
      <c r="OAX203" s="605"/>
      <c r="OAY203" s="605"/>
      <c r="OAZ203" s="605"/>
      <c r="OBA203" s="605"/>
      <c r="OBB203" s="605"/>
      <c r="OBC203" s="605"/>
      <c r="OBD203" s="605"/>
      <c r="OBE203" s="605"/>
      <c r="OBF203" s="605"/>
      <c r="OBG203" s="605"/>
      <c r="OBH203" s="605"/>
      <c r="OBI203" s="605"/>
      <c r="OBJ203" s="605"/>
      <c r="OBK203" s="605"/>
      <c r="OBL203" s="605"/>
      <c r="OBM203" s="605"/>
      <c r="OBN203" s="605"/>
      <c r="OBO203" s="605"/>
      <c r="OBP203" s="605"/>
      <c r="OBQ203" s="605"/>
      <c r="OBR203" s="605"/>
      <c r="OBS203" s="605"/>
      <c r="OBT203" s="605"/>
      <c r="OBU203" s="605"/>
      <c r="OBV203" s="605"/>
      <c r="OBW203" s="605"/>
      <c r="OBX203" s="605"/>
      <c r="OBY203" s="605"/>
      <c r="OBZ203" s="605"/>
      <c r="OCA203" s="605"/>
      <c r="OCB203" s="605"/>
      <c r="OCC203" s="605"/>
      <c r="OCD203" s="605"/>
      <c r="OCE203" s="605"/>
      <c r="OCF203" s="605"/>
      <c r="OCG203" s="605"/>
      <c r="OCH203" s="605"/>
      <c r="OCI203" s="605"/>
      <c r="OCJ203" s="605"/>
      <c r="OCK203" s="605"/>
      <c r="OCL203" s="605"/>
      <c r="OCM203" s="605"/>
      <c r="OCN203" s="605"/>
      <c r="OCO203" s="605"/>
      <c r="OCP203" s="605"/>
      <c r="OCQ203" s="605"/>
      <c r="OCR203" s="605"/>
      <c r="OCS203" s="605"/>
      <c r="OCT203" s="605"/>
      <c r="OCU203" s="605"/>
      <c r="OCV203" s="605"/>
      <c r="OCW203" s="605"/>
      <c r="OCX203" s="605"/>
      <c r="OCY203" s="605"/>
      <c r="OCZ203" s="605"/>
      <c r="ODA203" s="605"/>
      <c r="ODB203" s="605"/>
      <c r="ODC203" s="605"/>
      <c r="ODD203" s="605"/>
      <c r="ODE203" s="605"/>
      <c r="ODF203" s="605"/>
      <c r="ODG203" s="605"/>
      <c r="ODH203" s="605"/>
      <c r="ODI203" s="605"/>
      <c r="ODJ203" s="605"/>
      <c r="ODK203" s="605"/>
      <c r="ODL203" s="605"/>
      <c r="ODM203" s="605"/>
      <c r="ODN203" s="605"/>
      <c r="ODO203" s="605"/>
      <c r="ODP203" s="605"/>
      <c r="ODQ203" s="605"/>
      <c r="ODR203" s="605"/>
      <c r="ODS203" s="605"/>
      <c r="ODT203" s="605"/>
      <c r="ODU203" s="605"/>
      <c r="ODV203" s="605"/>
      <c r="ODW203" s="605"/>
      <c r="ODX203" s="605"/>
      <c r="ODY203" s="605"/>
      <c r="ODZ203" s="605"/>
      <c r="OEA203" s="605"/>
      <c r="OEB203" s="605"/>
      <c r="OEC203" s="605"/>
      <c r="OED203" s="605"/>
      <c r="OEE203" s="605"/>
      <c r="OEF203" s="605"/>
      <c r="OEG203" s="605"/>
      <c r="OEH203" s="605"/>
      <c r="OEI203" s="605"/>
      <c r="OEJ203" s="605"/>
      <c r="OEK203" s="605"/>
      <c r="OEL203" s="605"/>
      <c r="OEM203" s="605"/>
      <c r="OEN203" s="605"/>
      <c r="OEO203" s="605"/>
      <c r="OEP203" s="605"/>
      <c r="OEQ203" s="605"/>
      <c r="OER203" s="605"/>
      <c r="OES203" s="605"/>
      <c r="OET203" s="605"/>
      <c r="OEU203" s="605"/>
      <c r="OEV203" s="605"/>
      <c r="OEW203" s="605"/>
      <c r="OEX203" s="605"/>
      <c r="OEY203" s="605"/>
      <c r="OEZ203" s="605"/>
      <c r="OFA203" s="605"/>
      <c r="OFB203" s="605"/>
      <c r="OFC203" s="605"/>
      <c r="OFD203" s="605"/>
      <c r="OFE203" s="605"/>
      <c r="OFF203" s="605"/>
      <c r="OFG203" s="605"/>
      <c r="OFH203" s="605"/>
      <c r="OFI203" s="605"/>
      <c r="OFJ203" s="605"/>
      <c r="OFK203" s="605"/>
      <c r="OFL203" s="605"/>
      <c r="OFM203" s="605"/>
      <c r="OFN203" s="605"/>
      <c r="OFO203" s="605"/>
      <c r="OFP203" s="605"/>
      <c r="OFQ203" s="605"/>
      <c r="OFR203" s="605"/>
      <c r="OFS203" s="605"/>
      <c r="OFT203" s="605"/>
      <c r="OFU203" s="605"/>
      <c r="OFV203" s="605"/>
      <c r="OFW203" s="605"/>
      <c r="OFX203" s="605"/>
      <c r="OFY203" s="605"/>
      <c r="OFZ203" s="605"/>
      <c r="OGA203" s="605"/>
      <c r="OGB203" s="605"/>
      <c r="OGC203" s="605"/>
      <c r="OGD203" s="605"/>
      <c r="OGE203" s="605"/>
      <c r="OGF203" s="605"/>
      <c r="OGG203" s="605"/>
      <c r="OGH203" s="605"/>
      <c r="OGI203" s="605"/>
      <c r="OGJ203" s="605"/>
      <c r="OGK203" s="605"/>
      <c r="OGL203" s="605"/>
      <c r="OGM203" s="605"/>
      <c r="OGN203" s="605"/>
      <c r="OGO203" s="605"/>
      <c r="OGP203" s="605"/>
      <c r="OGQ203" s="605"/>
      <c r="OGR203" s="605"/>
      <c r="OGS203" s="605"/>
      <c r="OGT203" s="605"/>
      <c r="OGU203" s="605"/>
      <c r="OGV203" s="605"/>
      <c r="OGW203" s="605"/>
      <c r="OGX203" s="605"/>
      <c r="OGY203" s="605"/>
      <c r="OGZ203" s="605"/>
      <c r="OHA203" s="605"/>
      <c r="OHB203" s="605"/>
      <c r="OHC203" s="605"/>
      <c r="OHD203" s="605"/>
      <c r="OHE203" s="605"/>
      <c r="OHF203" s="605"/>
      <c r="OHG203" s="605"/>
      <c r="OHH203" s="605"/>
      <c r="OHI203" s="605"/>
      <c r="OHJ203" s="605"/>
      <c r="OHK203" s="605"/>
      <c r="OHL203" s="605"/>
      <c r="OHM203" s="605"/>
      <c r="OHN203" s="605"/>
      <c r="OHO203" s="605"/>
      <c r="OHP203" s="605"/>
      <c r="OHQ203" s="605"/>
      <c r="OHR203" s="605"/>
      <c r="OHS203" s="605"/>
      <c r="OHT203" s="605"/>
      <c r="OHU203" s="605"/>
      <c r="OHV203" s="605"/>
      <c r="OHW203" s="605"/>
      <c r="OHX203" s="605"/>
      <c r="OHY203" s="605"/>
      <c r="OHZ203" s="605"/>
      <c r="OIA203" s="605"/>
      <c r="OIB203" s="605"/>
      <c r="OIC203" s="605"/>
      <c r="OID203" s="605"/>
      <c r="OIE203" s="605"/>
      <c r="OIF203" s="605"/>
      <c r="OIG203" s="605"/>
      <c r="OIH203" s="605"/>
      <c r="OII203" s="605"/>
      <c r="OIJ203" s="605"/>
      <c r="OIK203" s="605"/>
      <c r="OIL203" s="605"/>
      <c r="OIM203" s="605"/>
      <c r="OIN203" s="605"/>
      <c r="OIO203" s="605"/>
      <c r="OIP203" s="605"/>
      <c r="OIQ203" s="605"/>
      <c r="OIR203" s="605"/>
      <c r="OIS203" s="605"/>
      <c r="OIT203" s="605"/>
      <c r="OIU203" s="605"/>
      <c r="OIV203" s="605"/>
      <c r="OIW203" s="605"/>
      <c r="OIX203" s="605"/>
      <c r="OIY203" s="605"/>
      <c r="OIZ203" s="605"/>
      <c r="OJA203" s="605"/>
      <c r="OJB203" s="605"/>
      <c r="OJC203" s="605"/>
      <c r="OJD203" s="605"/>
      <c r="OJE203" s="605"/>
      <c r="OJF203" s="605"/>
      <c r="OJG203" s="605"/>
      <c r="OJH203" s="605"/>
      <c r="OJI203" s="605"/>
      <c r="OJJ203" s="605"/>
      <c r="OJK203" s="605"/>
      <c r="OJL203" s="605"/>
      <c r="OJM203" s="605"/>
      <c r="OJN203" s="605"/>
      <c r="OJO203" s="605"/>
      <c r="OJP203" s="605"/>
      <c r="OJQ203" s="605"/>
      <c r="OJR203" s="605"/>
      <c r="OJS203" s="605"/>
      <c r="OJT203" s="605"/>
      <c r="OJU203" s="605"/>
      <c r="OJV203" s="605"/>
      <c r="OJW203" s="605"/>
      <c r="OJX203" s="605"/>
      <c r="OJY203" s="605"/>
      <c r="OJZ203" s="605"/>
      <c r="OKA203" s="605"/>
      <c r="OKB203" s="605"/>
      <c r="OKC203" s="605"/>
      <c r="OKD203" s="605"/>
      <c r="OKE203" s="605"/>
      <c r="OKF203" s="605"/>
      <c r="OKG203" s="605"/>
      <c r="OKH203" s="605"/>
      <c r="OKI203" s="605"/>
      <c r="OKJ203" s="605"/>
      <c r="OKK203" s="605"/>
      <c r="OKL203" s="605"/>
      <c r="OKM203" s="605"/>
      <c r="OKN203" s="605"/>
      <c r="OKO203" s="605"/>
      <c r="OKP203" s="605"/>
      <c r="OKQ203" s="605"/>
      <c r="OKR203" s="605"/>
      <c r="OKS203" s="605"/>
      <c r="OKT203" s="605"/>
      <c r="OKU203" s="605"/>
      <c r="OKV203" s="605"/>
      <c r="OKW203" s="605"/>
      <c r="OKX203" s="605"/>
      <c r="OKY203" s="605"/>
      <c r="OKZ203" s="605"/>
      <c r="OLA203" s="605"/>
      <c r="OLB203" s="605"/>
      <c r="OLC203" s="605"/>
      <c r="OLD203" s="605"/>
      <c r="OLE203" s="605"/>
      <c r="OLF203" s="605"/>
      <c r="OLG203" s="605"/>
      <c r="OLH203" s="605"/>
      <c r="OLI203" s="605"/>
      <c r="OLJ203" s="605"/>
      <c r="OLK203" s="605"/>
      <c r="OLL203" s="605"/>
      <c r="OLM203" s="605"/>
      <c r="OLN203" s="605"/>
      <c r="OLO203" s="605"/>
      <c r="OLP203" s="605"/>
      <c r="OLQ203" s="605"/>
      <c r="OLR203" s="605"/>
      <c r="OLS203" s="605"/>
      <c r="OLT203" s="605"/>
      <c r="OLU203" s="605"/>
      <c r="OLV203" s="605"/>
      <c r="OLW203" s="605"/>
      <c r="OLX203" s="605"/>
      <c r="OLY203" s="605"/>
      <c r="OLZ203" s="605"/>
      <c r="OMA203" s="605"/>
      <c r="OMB203" s="605"/>
      <c r="OMC203" s="605"/>
      <c r="OMD203" s="605"/>
      <c r="OME203" s="605"/>
      <c r="OMF203" s="605"/>
      <c r="OMG203" s="605"/>
      <c r="OMH203" s="605"/>
      <c r="OMI203" s="605"/>
      <c r="OMJ203" s="605"/>
      <c r="OMK203" s="605"/>
      <c r="OML203" s="605"/>
      <c r="OMM203" s="605"/>
      <c r="OMN203" s="605"/>
      <c r="OMO203" s="605"/>
      <c r="OMP203" s="605"/>
      <c r="OMQ203" s="605"/>
      <c r="OMR203" s="605"/>
      <c r="OMS203" s="605"/>
      <c r="OMT203" s="605"/>
      <c r="OMU203" s="605"/>
      <c r="OMV203" s="605"/>
      <c r="OMW203" s="605"/>
      <c r="OMX203" s="605"/>
      <c r="OMY203" s="605"/>
      <c r="OMZ203" s="605"/>
      <c r="ONA203" s="605"/>
      <c r="ONB203" s="605"/>
      <c r="ONC203" s="605"/>
      <c r="OND203" s="605"/>
      <c r="ONE203" s="605"/>
      <c r="ONF203" s="605"/>
      <c r="ONG203" s="605"/>
      <c r="ONH203" s="605"/>
      <c r="ONI203" s="605"/>
      <c r="ONJ203" s="605"/>
      <c r="ONK203" s="605"/>
      <c r="ONL203" s="605"/>
      <c r="ONM203" s="605"/>
      <c r="ONN203" s="605"/>
      <c r="ONO203" s="605"/>
      <c r="ONP203" s="605"/>
      <c r="ONQ203" s="605"/>
      <c r="ONR203" s="605"/>
      <c r="ONS203" s="605"/>
      <c r="ONT203" s="605"/>
      <c r="ONU203" s="605"/>
      <c r="ONV203" s="605"/>
      <c r="ONW203" s="605"/>
      <c r="ONX203" s="605"/>
      <c r="ONY203" s="605"/>
      <c r="ONZ203" s="605"/>
      <c r="OOA203" s="605"/>
      <c r="OOB203" s="605"/>
      <c r="OOC203" s="605"/>
      <c r="OOD203" s="605"/>
      <c r="OOE203" s="605"/>
      <c r="OOF203" s="605"/>
      <c r="OOG203" s="605"/>
      <c r="OOH203" s="605"/>
      <c r="OOI203" s="605"/>
      <c r="OOJ203" s="605"/>
      <c r="OOK203" s="605"/>
      <c r="OOL203" s="605"/>
      <c r="OOM203" s="605"/>
      <c r="OON203" s="605"/>
      <c r="OOO203" s="605"/>
      <c r="OOP203" s="605"/>
      <c r="OOQ203" s="605"/>
      <c r="OOR203" s="605"/>
      <c r="OOS203" s="605"/>
      <c r="OOT203" s="605"/>
      <c r="OOU203" s="605"/>
      <c r="OOV203" s="605"/>
      <c r="OOW203" s="605"/>
      <c r="OOX203" s="605"/>
      <c r="OOY203" s="605"/>
      <c r="OOZ203" s="605"/>
      <c r="OPA203" s="605"/>
      <c r="OPB203" s="605"/>
      <c r="OPC203" s="605"/>
      <c r="OPD203" s="605"/>
      <c r="OPE203" s="605"/>
      <c r="OPF203" s="605"/>
      <c r="OPG203" s="605"/>
      <c r="OPH203" s="605"/>
      <c r="OPI203" s="605"/>
      <c r="OPJ203" s="605"/>
      <c r="OPK203" s="605"/>
      <c r="OPL203" s="605"/>
      <c r="OPM203" s="605"/>
      <c r="OPN203" s="605"/>
      <c r="OPO203" s="605"/>
      <c r="OPP203" s="605"/>
      <c r="OPQ203" s="605"/>
      <c r="OPR203" s="605"/>
      <c r="OPS203" s="605"/>
      <c r="OPT203" s="605"/>
      <c r="OPU203" s="605"/>
      <c r="OPV203" s="605"/>
      <c r="OPW203" s="605"/>
      <c r="OPX203" s="605"/>
      <c r="OPY203" s="605"/>
      <c r="OPZ203" s="605"/>
      <c r="OQA203" s="605"/>
      <c r="OQB203" s="605"/>
      <c r="OQC203" s="605"/>
      <c r="OQD203" s="605"/>
      <c r="OQE203" s="605"/>
      <c r="OQF203" s="605"/>
      <c r="OQG203" s="605"/>
      <c r="OQH203" s="605"/>
      <c r="OQI203" s="605"/>
      <c r="OQJ203" s="605"/>
      <c r="OQK203" s="605"/>
      <c r="OQL203" s="605"/>
      <c r="OQM203" s="605"/>
      <c r="OQN203" s="605"/>
      <c r="OQO203" s="605"/>
      <c r="OQP203" s="605"/>
      <c r="OQQ203" s="605"/>
      <c r="OQR203" s="605"/>
      <c r="OQS203" s="605"/>
      <c r="OQT203" s="605"/>
      <c r="OQU203" s="605"/>
      <c r="OQV203" s="605"/>
      <c r="OQW203" s="605"/>
      <c r="OQX203" s="605"/>
      <c r="OQY203" s="605"/>
      <c r="OQZ203" s="605"/>
      <c r="ORA203" s="605"/>
      <c r="ORB203" s="605"/>
      <c r="ORC203" s="605"/>
      <c r="ORD203" s="605"/>
      <c r="ORE203" s="605"/>
      <c r="ORF203" s="605"/>
      <c r="ORG203" s="605"/>
      <c r="ORH203" s="605"/>
      <c r="ORI203" s="605"/>
      <c r="ORJ203" s="605"/>
      <c r="ORK203" s="605"/>
      <c r="ORL203" s="605"/>
      <c r="ORM203" s="605"/>
      <c r="ORN203" s="605"/>
      <c r="ORO203" s="605"/>
      <c r="ORP203" s="605"/>
      <c r="ORQ203" s="605"/>
      <c r="ORR203" s="605"/>
      <c r="ORS203" s="605"/>
      <c r="ORT203" s="605"/>
      <c r="ORU203" s="605"/>
      <c r="ORV203" s="605"/>
      <c r="ORW203" s="605"/>
      <c r="ORX203" s="605"/>
      <c r="ORY203" s="605"/>
      <c r="ORZ203" s="605"/>
      <c r="OSA203" s="605"/>
      <c r="OSB203" s="605"/>
      <c r="OSC203" s="605"/>
      <c r="OSD203" s="605"/>
      <c r="OSE203" s="605"/>
      <c r="OSF203" s="605"/>
      <c r="OSG203" s="605"/>
      <c r="OSH203" s="605"/>
      <c r="OSI203" s="605"/>
      <c r="OSJ203" s="605"/>
      <c r="OSK203" s="605"/>
      <c r="OSL203" s="605"/>
      <c r="OSM203" s="605"/>
      <c r="OSN203" s="605"/>
      <c r="OSO203" s="605"/>
      <c r="OSP203" s="605"/>
      <c r="OSQ203" s="605"/>
      <c r="OSR203" s="605"/>
      <c r="OSS203" s="605"/>
      <c r="OST203" s="605"/>
      <c r="OSU203" s="605"/>
      <c r="OSV203" s="605"/>
      <c r="OSW203" s="605"/>
      <c r="OSX203" s="605"/>
      <c r="OSY203" s="605"/>
      <c r="OSZ203" s="605"/>
      <c r="OTA203" s="605"/>
      <c r="OTB203" s="605"/>
      <c r="OTC203" s="605"/>
      <c r="OTD203" s="605"/>
      <c r="OTE203" s="605"/>
      <c r="OTF203" s="605"/>
      <c r="OTG203" s="605"/>
      <c r="OTH203" s="605"/>
      <c r="OTI203" s="605"/>
      <c r="OTJ203" s="605"/>
      <c r="OTK203" s="605"/>
      <c r="OTL203" s="605"/>
      <c r="OTM203" s="605"/>
      <c r="OTN203" s="605"/>
      <c r="OTO203" s="605"/>
      <c r="OTP203" s="605"/>
      <c r="OTQ203" s="605"/>
      <c r="OTR203" s="605"/>
      <c r="OTS203" s="605"/>
      <c r="OTT203" s="605"/>
      <c r="OTU203" s="605"/>
      <c r="OTV203" s="605"/>
      <c r="OTW203" s="605"/>
      <c r="OTX203" s="605"/>
      <c r="OTY203" s="605"/>
      <c r="OTZ203" s="605"/>
      <c r="OUA203" s="605"/>
      <c r="OUB203" s="605"/>
      <c r="OUC203" s="605"/>
      <c r="OUD203" s="605"/>
      <c r="OUE203" s="605"/>
      <c r="OUF203" s="605"/>
      <c r="OUG203" s="605"/>
      <c r="OUH203" s="605"/>
      <c r="OUI203" s="605"/>
      <c r="OUJ203" s="605"/>
      <c r="OUK203" s="605"/>
      <c r="OUL203" s="605"/>
      <c r="OUM203" s="605"/>
      <c r="OUN203" s="605"/>
      <c r="OUO203" s="605"/>
      <c r="OUP203" s="605"/>
      <c r="OUQ203" s="605"/>
      <c r="OUR203" s="605"/>
      <c r="OUS203" s="605"/>
      <c r="OUT203" s="605"/>
      <c r="OUU203" s="605"/>
      <c r="OUV203" s="605"/>
      <c r="OUW203" s="605"/>
      <c r="OUX203" s="605"/>
      <c r="OUY203" s="605"/>
      <c r="OUZ203" s="605"/>
      <c r="OVA203" s="605"/>
      <c r="OVB203" s="605"/>
      <c r="OVC203" s="605"/>
      <c r="OVD203" s="605"/>
      <c r="OVE203" s="605"/>
      <c r="OVF203" s="605"/>
      <c r="OVG203" s="605"/>
      <c r="OVH203" s="605"/>
      <c r="OVI203" s="605"/>
      <c r="OVJ203" s="605"/>
      <c r="OVK203" s="605"/>
      <c r="OVL203" s="605"/>
      <c r="OVM203" s="605"/>
      <c r="OVN203" s="605"/>
      <c r="OVO203" s="605"/>
      <c r="OVP203" s="605"/>
      <c r="OVQ203" s="605"/>
      <c r="OVR203" s="605"/>
      <c r="OVS203" s="605"/>
      <c r="OVT203" s="605"/>
      <c r="OVU203" s="605"/>
      <c r="OVV203" s="605"/>
      <c r="OVW203" s="605"/>
      <c r="OVX203" s="605"/>
      <c r="OVY203" s="605"/>
      <c r="OVZ203" s="605"/>
      <c r="OWA203" s="605"/>
      <c r="OWB203" s="605"/>
      <c r="OWC203" s="605"/>
      <c r="OWD203" s="605"/>
      <c r="OWE203" s="605"/>
      <c r="OWF203" s="605"/>
      <c r="OWG203" s="605"/>
      <c r="OWH203" s="605"/>
      <c r="OWI203" s="605"/>
      <c r="OWJ203" s="605"/>
      <c r="OWK203" s="605"/>
      <c r="OWL203" s="605"/>
      <c r="OWM203" s="605"/>
      <c r="OWN203" s="605"/>
      <c r="OWO203" s="605"/>
      <c r="OWP203" s="605"/>
      <c r="OWQ203" s="605"/>
      <c r="OWR203" s="605"/>
      <c r="OWS203" s="605"/>
      <c r="OWT203" s="605"/>
      <c r="OWU203" s="605"/>
      <c r="OWV203" s="605"/>
      <c r="OWW203" s="605"/>
      <c r="OWX203" s="605"/>
      <c r="OWY203" s="605"/>
      <c r="OWZ203" s="605"/>
      <c r="OXA203" s="605"/>
      <c r="OXB203" s="605"/>
      <c r="OXC203" s="605"/>
      <c r="OXD203" s="605"/>
      <c r="OXE203" s="605"/>
      <c r="OXF203" s="605"/>
      <c r="OXG203" s="605"/>
      <c r="OXH203" s="605"/>
      <c r="OXI203" s="605"/>
      <c r="OXJ203" s="605"/>
      <c r="OXK203" s="605"/>
      <c r="OXL203" s="605"/>
      <c r="OXM203" s="605"/>
      <c r="OXN203" s="605"/>
      <c r="OXO203" s="605"/>
      <c r="OXP203" s="605"/>
      <c r="OXQ203" s="605"/>
      <c r="OXR203" s="605"/>
      <c r="OXS203" s="605"/>
      <c r="OXT203" s="605"/>
      <c r="OXU203" s="605"/>
      <c r="OXV203" s="605"/>
      <c r="OXW203" s="605"/>
      <c r="OXX203" s="605"/>
      <c r="OXY203" s="605"/>
      <c r="OXZ203" s="605"/>
      <c r="OYA203" s="605"/>
      <c r="OYB203" s="605"/>
      <c r="OYC203" s="605"/>
      <c r="OYD203" s="605"/>
      <c r="OYE203" s="605"/>
      <c r="OYF203" s="605"/>
      <c r="OYG203" s="605"/>
      <c r="OYH203" s="605"/>
      <c r="OYI203" s="605"/>
      <c r="OYJ203" s="605"/>
      <c r="OYK203" s="605"/>
      <c r="OYL203" s="605"/>
      <c r="OYM203" s="605"/>
      <c r="OYN203" s="605"/>
      <c r="OYO203" s="605"/>
      <c r="OYP203" s="605"/>
      <c r="OYQ203" s="605"/>
      <c r="OYR203" s="605"/>
      <c r="OYS203" s="605"/>
      <c r="OYT203" s="605"/>
      <c r="OYU203" s="605"/>
      <c r="OYV203" s="605"/>
      <c r="OYW203" s="605"/>
      <c r="OYX203" s="605"/>
      <c r="OYY203" s="605"/>
      <c r="OYZ203" s="605"/>
      <c r="OZA203" s="605"/>
      <c r="OZB203" s="605"/>
      <c r="OZC203" s="605"/>
      <c r="OZD203" s="605"/>
      <c r="OZE203" s="605"/>
      <c r="OZF203" s="605"/>
      <c r="OZG203" s="605"/>
      <c r="OZH203" s="605"/>
      <c r="OZI203" s="605"/>
      <c r="OZJ203" s="605"/>
      <c r="OZK203" s="605"/>
      <c r="OZL203" s="605"/>
      <c r="OZM203" s="605"/>
      <c r="OZN203" s="605"/>
      <c r="OZO203" s="605"/>
      <c r="OZP203" s="605"/>
      <c r="OZQ203" s="605"/>
      <c r="OZR203" s="605"/>
      <c r="OZS203" s="605"/>
      <c r="OZT203" s="605"/>
      <c r="OZU203" s="605"/>
      <c r="OZV203" s="605"/>
      <c r="OZW203" s="605"/>
      <c r="OZX203" s="605"/>
      <c r="OZY203" s="605"/>
      <c r="OZZ203" s="605"/>
      <c r="PAA203" s="605"/>
      <c r="PAB203" s="605"/>
      <c r="PAC203" s="605"/>
      <c r="PAD203" s="605"/>
      <c r="PAE203" s="605"/>
      <c r="PAF203" s="605"/>
      <c r="PAG203" s="605"/>
      <c r="PAH203" s="605"/>
      <c r="PAI203" s="605"/>
      <c r="PAJ203" s="605"/>
      <c r="PAK203" s="605"/>
      <c r="PAL203" s="605"/>
      <c r="PAM203" s="605"/>
      <c r="PAN203" s="605"/>
      <c r="PAO203" s="605"/>
      <c r="PAP203" s="605"/>
      <c r="PAQ203" s="605"/>
      <c r="PAR203" s="605"/>
      <c r="PAS203" s="605"/>
      <c r="PAT203" s="605"/>
      <c r="PAU203" s="605"/>
      <c r="PAV203" s="605"/>
      <c r="PAW203" s="605"/>
      <c r="PAX203" s="605"/>
      <c r="PAY203" s="605"/>
      <c r="PAZ203" s="605"/>
      <c r="PBA203" s="605"/>
      <c r="PBB203" s="605"/>
      <c r="PBC203" s="605"/>
      <c r="PBD203" s="605"/>
      <c r="PBE203" s="605"/>
      <c r="PBF203" s="605"/>
      <c r="PBG203" s="605"/>
      <c r="PBH203" s="605"/>
      <c r="PBI203" s="605"/>
      <c r="PBJ203" s="605"/>
      <c r="PBK203" s="605"/>
      <c r="PBL203" s="605"/>
      <c r="PBM203" s="605"/>
      <c r="PBN203" s="605"/>
      <c r="PBO203" s="605"/>
      <c r="PBP203" s="605"/>
      <c r="PBQ203" s="605"/>
      <c r="PBR203" s="605"/>
      <c r="PBS203" s="605"/>
      <c r="PBT203" s="605"/>
      <c r="PBU203" s="605"/>
      <c r="PBV203" s="605"/>
      <c r="PBW203" s="605"/>
      <c r="PBX203" s="605"/>
      <c r="PBY203" s="605"/>
      <c r="PBZ203" s="605"/>
      <c r="PCA203" s="605"/>
      <c r="PCB203" s="605"/>
      <c r="PCC203" s="605"/>
      <c r="PCD203" s="605"/>
      <c r="PCE203" s="605"/>
      <c r="PCF203" s="605"/>
      <c r="PCG203" s="605"/>
      <c r="PCH203" s="605"/>
      <c r="PCI203" s="605"/>
      <c r="PCJ203" s="605"/>
      <c r="PCK203" s="605"/>
      <c r="PCL203" s="605"/>
      <c r="PCM203" s="605"/>
      <c r="PCN203" s="605"/>
      <c r="PCO203" s="605"/>
      <c r="PCP203" s="605"/>
      <c r="PCQ203" s="605"/>
      <c r="PCR203" s="605"/>
      <c r="PCS203" s="605"/>
      <c r="PCT203" s="605"/>
      <c r="PCU203" s="605"/>
      <c r="PCV203" s="605"/>
      <c r="PCW203" s="605"/>
      <c r="PCX203" s="605"/>
      <c r="PCY203" s="605"/>
      <c r="PCZ203" s="605"/>
      <c r="PDA203" s="605"/>
      <c r="PDB203" s="605"/>
      <c r="PDC203" s="605"/>
      <c r="PDD203" s="605"/>
      <c r="PDE203" s="605"/>
      <c r="PDF203" s="605"/>
      <c r="PDG203" s="605"/>
      <c r="PDH203" s="605"/>
      <c r="PDI203" s="605"/>
      <c r="PDJ203" s="605"/>
      <c r="PDK203" s="605"/>
      <c r="PDL203" s="605"/>
      <c r="PDM203" s="605"/>
      <c r="PDN203" s="605"/>
      <c r="PDO203" s="605"/>
      <c r="PDP203" s="605"/>
      <c r="PDQ203" s="605"/>
      <c r="PDR203" s="605"/>
      <c r="PDS203" s="605"/>
      <c r="PDT203" s="605"/>
      <c r="PDU203" s="605"/>
      <c r="PDV203" s="605"/>
      <c r="PDW203" s="605"/>
      <c r="PDX203" s="605"/>
      <c r="PDY203" s="605"/>
      <c r="PDZ203" s="605"/>
      <c r="PEA203" s="605"/>
      <c r="PEB203" s="605"/>
      <c r="PEC203" s="605"/>
      <c r="PED203" s="605"/>
      <c r="PEE203" s="605"/>
      <c r="PEF203" s="605"/>
      <c r="PEG203" s="605"/>
      <c r="PEH203" s="605"/>
      <c r="PEI203" s="605"/>
      <c r="PEJ203" s="605"/>
      <c r="PEK203" s="605"/>
      <c r="PEL203" s="605"/>
      <c r="PEM203" s="605"/>
      <c r="PEN203" s="605"/>
      <c r="PEO203" s="605"/>
      <c r="PEP203" s="605"/>
      <c r="PEQ203" s="605"/>
      <c r="PER203" s="605"/>
      <c r="PES203" s="605"/>
      <c r="PET203" s="605"/>
      <c r="PEU203" s="605"/>
      <c r="PEV203" s="605"/>
      <c r="PEW203" s="605"/>
      <c r="PEX203" s="605"/>
      <c r="PEY203" s="605"/>
      <c r="PEZ203" s="605"/>
      <c r="PFA203" s="605"/>
      <c r="PFB203" s="605"/>
      <c r="PFC203" s="605"/>
      <c r="PFD203" s="605"/>
      <c r="PFE203" s="605"/>
      <c r="PFF203" s="605"/>
      <c r="PFG203" s="605"/>
      <c r="PFH203" s="605"/>
      <c r="PFI203" s="605"/>
      <c r="PFJ203" s="605"/>
      <c r="PFK203" s="605"/>
      <c r="PFL203" s="605"/>
      <c r="PFM203" s="605"/>
      <c r="PFN203" s="605"/>
      <c r="PFO203" s="605"/>
      <c r="PFP203" s="605"/>
      <c r="PFQ203" s="605"/>
      <c r="PFR203" s="605"/>
      <c r="PFS203" s="605"/>
      <c r="PFT203" s="605"/>
      <c r="PFU203" s="605"/>
      <c r="PFV203" s="605"/>
      <c r="PFW203" s="605"/>
      <c r="PFX203" s="605"/>
      <c r="PFY203" s="605"/>
      <c r="PFZ203" s="605"/>
      <c r="PGA203" s="605"/>
      <c r="PGB203" s="605"/>
      <c r="PGC203" s="605"/>
      <c r="PGD203" s="605"/>
      <c r="PGE203" s="605"/>
      <c r="PGF203" s="605"/>
      <c r="PGG203" s="605"/>
      <c r="PGH203" s="605"/>
      <c r="PGI203" s="605"/>
      <c r="PGJ203" s="605"/>
      <c r="PGK203" s="605"/>
      <c r="PGL203" s="605"/>
      <c r="PGM203" s="605"/>
      <c r="PGN203" s="605"/>
      <c r="PGO203" s="605"/>
      <c r="PGP203" s="605"/>
      <c r="PGQ203" s="605"/>
      <c r="PGR203" s="605"/>
      <c r="PGS203" s="605"/>
      <c r="PGT203" s="605"/>
      <c r="PGU203" s="605"/>
      <c r="PGV203" s="605"/>
      <c r="PGW203" s="605"/>
      <c r="PGX203" s="605"/>
      <c r="PGY203" s="605"/>
      <c r="PGZ203" s="605"/>
      <c r="PHA203" s="605"/>
      <c r="PHB203" s="605"/>
      <c r="PHC203" s="605"/>
      <c r="PHD203" s="605"/>
      <c r="PHE203" s="605"/>
      <c r="PHF203" s="605"/>
      <c r="PHG203" s="605"/>
      <c r="PHH203" s="605"/>
      <c r="PHI203" s="605"/>
      <c r="PHJ203" s="605"/>
      <c r="PHK203" s="605"/>
      <c r="PHL203" s="605"/>
      <c r="PHM203" s="605"/>
      <c r="PHN203" s="605"/>
      <c r="PHO203" s="605"/>
      <c r="PHP203" s="605"/>
      <c r="PHQ203" s="605"/>
      <c r="PHR203" s="605"/>
      <c r="PHS203" s="605"/>
      <c r="PHT203" s="605"/>
      <c r="PHU203" s="605"/>
      <c r="PHV203" s="605"/>
      <c r="PHW203" s="605"/>
      <c r="PHX203" s="605"/>
      <c r="PHY203" s="605"/>
      <c r="PHZ203" s="605"/>
      <c r="PIA203" s="605"/>
      <c r="PIB203" s="605"/>
      <c r="PIC203" s="605"/>
      <c r="PID203" s="605"/>
      <c r="PIE203" s="605"/>
      <c r="PIF203" s="605"/>
      <c r="PIG203" s="605"/>
      <c r="PIH203" s="605"/>
      <c r="PII203" s="605"/>
      <c r="PIJ203" s="605"/>
      <c r="PIK203" s="605"/>
      <c r="PIL203" s="605"/>
      <c r="PIM203" s="605"/>
      <c r="PIN203" s="605"/>
      <c r="PIO203" s="605"/>
      <c r="PIP203" s="605"/>
      <c r="PIQ203" s="605"/>
      <c r="PIR203" s="605"/>
      <c r="PIS203" s="605"/>
      <c r="PIT203" s="605"/>
      <c r="PIU203" s="605"/>
      <c r="PIV203" s="605"/>
      <c r="PIW203" s="605"/>
      <c r="PIX203" s="605"/>
      <c r="PIY203" s="605"/>
      <c r="PIZ203" s="605"/>
      <c r="PJA203" s="605"/>
      <c r="PJB203" s="605"/>
      <c r="PJC203" s="605"/>
      <c r="PJD203" s="605"/>
      <c r="PJE203" s="605"/>
      <c r="PJF203" s="605"/>
      <c r="PJG203" s="605"/>
      <c r="PJH203" s="605"/>
      <c r="PJI203" s="605"/>
      <c r="PJJ203" s="605"/>
      <c r="PJK203" s="605"/>
      <c r="PJL203" s="605"/>
      <c r="PJM203" s="605"/>
      <c r="PJN203" s="605"/>
      <c r="PJO203" s="605"/>
      <c r="PJP203" s="605"/>
      <c r="PJQ203" s="605"/>
      <c r="PJR203" s="605"/>
      <c r="PJS203" s="605"/>
      <c r="PJT203" s="605"/>
      <c r="PJU203" s="605"/>
      <c r="PJV203" s="605"/>
      <c r="PJW203" s="605"/>
      <c r="PJX203" s="605"/>
      <c r="PJY203" s="605"/>
      <c r="PJZ203" s="605"/>
      <c r="PKA203" s="605"/>
      <c r="PKB203" s="605"/>
      <c r="PKC203" s="605"/>
      <c r="PKD203" s="605"/>
      <c r="PKE203" s="605"/>
      <c r="PKF203" s="605"/>
      <c r="PKG203" s="605"/>
      <c r="PKH203" s="605"/>
      <c r="PKI203" s="605"/>
      <c r="PKJ203" s="605"/>
      <c r="PKK203" s="605"/>
      <c r="PKL203" s="605"/>
      <c r="PKM203" s="605"/>
      <c r="PKN203" s="605"/>
      <c r="PKO203" s="605"/>
      <c r="PKP203" s="605"/>
      <c r="PKQ203" s="605"/>
      <c r="PKR203" s="605"/>
      <c r="PKS203" s="605"/>
      <c r="PKT203" s="605"/>
      <c r="PKU203" s="605"/>
      <c r="PKV203" s="605"/>
      <c r="PKW203" s="605"/>
      <c r="PKX203" s="605"/>
      <c r="PKY203" s="605"/>
      <c r="PKZ203" s="605"/>
      <c r="PLA203" s="605"/>
      <c r="PLB203" s="605"/>
      <c r="PLC203" s="605"/>
      <c r="PLD203" s="605"/>
      <c r="PLE203" s="605"/>
      <c r="PLF203" s="605"/>
      <c r="PLG203" s="605"/>
      <c r="PLH203" s="605"/>
      <c r="PLI203" s="605"/>
      <c r="PLJ203" s="605"/>
      <c r="PLK203" s="605"/>
      <c r="PLL203" s="605"/>
      <c r="PLM203" s="605"/>
      <c r="PLN203" s="605"/>
      <c r="PLO203" s="605"/>
      <c r="PLP203" s="605"/>
      <c r="PLQ203" s="605"/>
      <c r="PLR203" s="605"/>
      <c r="PLS203" s="605"/>
      <c r="PLT203" s="605"/>
      <c r="PLU203" s="605"/>
      <c r="PLV203" s="605"/>
      <c r="PLW203" s="605"/>
      <c r="PLX203" s="605"/>
      <c r="PLY203" s="605"/>
      <c r="PLZ203" s="605"/>
      <c r="PMA203" s="605"/>
      <c r="PMB203" s="605"/>
      <c r="PMC203" s="605"/>
      <c r="PMD203" s="605"/>
      <c r="PME203" s="605"/>
      <c r="PMF203" s="605"/>
      <c r="PMG203" s="605"/>
      <c r="PMH203" s="605"/>
      <c r="PMI203" s="605"/>
      <c r="PMJ203" s="605"/>
      <c r="PMK203" s="605"/>
      <c r="PML203" s="605"/>
      <c r="PMM203" s="605"/>
      <c r="PMN203" s="605"/>
      <c r="PMO203" s="605"/>
      <c r="PMP203" s="605"/>
      <c r="PMQ203" s="605"/>
      <c r="PMR203" s="605"/>
      <c r="PMS203" s="605"/>
      <c r="PMT203" s="605"/>
      <c r="PMU203" s="605"/>
      <c r="PMV203" s="605"/>
      <c r="PMW203" s="605"/>
      <c r="PMX203" s="605"/>
      <c r="PMY203" s="605"/>
      <c r="PMZ203" s="605"/>
      <c r="PNA203" s="605"/>
      <c r="PNB203" s="605"/>
      <c r="PNC203" s="605"/>
      <c r="PND203" s="605"/>
      <c r="PNE203" s="605"/>
      <c r="PNF203" s="605"/>
      <c r="PNG203" s="605"/>
      <c r="PNH203" s="605"/>
      <c r="PNI203" s="605"/>
      <c r="PNJ203" s="605"/>
      <c r="PNK203" s="605"/>
      <c r="PNL203" s="605"/>
      <c r="PNM203" s="605"/>
      <c r="PNN203" s="605"/>
      <c r="PNO203" s="605"/>
      <c r="PNP203" s="605"/>
      <c r="PNQ203" s="605"/>
      <c r="PNR203" s="605"/>
      <c r="PNS203" s="605"/>
      <c r="PNT203" s="605"/>
      <c r="PNU203" s="605"/>
      <c r="PNV203" s="605"/>
      <c r="PNW203" s="605"/>
      <c r="PNX203" s="605"/>
      <c r="PNY203" s="605"/>
      <c r="PNZ203" s="605"/>
      <c r="POA203" s="605"/>
      <c r="POB203" s="605"/>
      <c r="POC203" s="605"/>
      <c r="POD203" s="605"/>
      <c r="POE203" s="605"/>
      <c r="POF203" s="605"/>
      <c r="POG203" s="605"/>
      <c r="POH203" s="605"/>
      <c r="POI203" s="605"/>
      <c r="POJ203" s="605"/>
      <c r="POK203" s="605"/>
      <c r="POL203" s="605"/>
      <c r="POM203" s="605"/>
      <c r="PON203" s="605"/>
      <c r="POO203" s="605"/>
      <c r="POP203" s="605"/>
      <c r="POQ203" s="605"/>
      <c r="POR203" s="605"/>
      <c r="POS203" s="605"/>
      <c r="POT203" s="605"/>
      <c r="POU203" s="605"/>
      <c r="POV203" s="605"/>
      <c r="POW203" s="605"/>
      <c r="POX203" s="605"/>
      <c r="POY203" s="605"/>
      <c r="POZ203" s="605"/>
      <c r="PPA203" s="605"/>
      <c r="PPB203" s="605"/>
      <c r="PPC203" s="605"/>
      <c r="PPD203" s="605"/>
      <c r="PPE203" s="605"/>
      <c r="PPF203" s="605"/>
      <c r="PPG203" s="605"/>
      <c r="PPH203" s="605"/>
      <c r="PPI203" s="605"/>
      <c r="PPJ203" s="605"/>
      <c r="PPK203" s="605"/>
      <c r="PPL203" s="605"/>
      <c r="PPM203" s="605"/>
      <c r="PPN203" s="605"/>
      <c r="PPO203" s="605"/>
      <c r="PPP203" s="605"/>
      <c r="PPQ203" s="605"/>
      <c r="PPR203" s="605"/>
      <c r="PPS203" s="605"/>
      <c r="PPT203" s="605"/>
      <c r="PPU203" s="605"/>
      <c r="PPV203" s="605"/>
      <c r="PPW203" s="605"/>
      <c r="PPX203" s="605"/>
      <c r="PPY203" s="605"/>
      <c r="PPZ203" s="605"/>
      <c r="PQA203" s="605"/>
      <c r="PQB203" s="605"/>
      <c r="PQC203" s="605"/>
      <c r="PQD203" s="605"/>
      <c r="PQE203" s="605"/>
      <c r="PQF203" s="605"/>
      <c r="PQG203" s="605"/>
      <c r="PQH203" s="605"/>
      <c r="PQI203" s="605"/>
      <c r="PQJ203" s="605"/>
      <c r="PQK203" s="605"/>
      <c r="PQL203" s="605"/>
      <c r="PQM203" s="605"/>
      <c r="PQN203" s="605"/>
      <c r="PQO203" s="605"/>
      <c r="PQP203" s="605"/>
      <c r="PQQ203" s="605"/>
      <c r="PQR203" s="605"/>
      <c r="PQS203" s="605"/>
      <c r="PQT203" s="605"/>
      <c r="PQU203" s="605"/>
      <c r="PQV203" s="605"/>
      <c r="PQW203" s="605"/>
      <c r="PQX203" s="605"/>
      <c r="PQY203" s="605"/>
      <c r="PQZ203" s="605"/>
      <c r="PRA203" s="605"/>
      <c r="PRB203" s="605"/>
      <c r="PRC203" s="605"/>
      <c r="PRD203" s="605"/>
      <c r="PRE203" s="605"/>
      <c r="PRF203" s="605"/>
      <c r="PRG203" s="605"/>
      <c r="PRH203" s="605"/>
      <c r="PRI203" s="605"/>
      <c r="PRJ203" s="605"/>
      <c r="PRK203" s="605"/>
      <c r="PRL203" s="605"/>
      <c r="PRM203" s="605"/>
      <c r="PRN203" s="605"/>
      <c r="PRO203" s="605"/>
      <c r="PRP203" s="605"/>
      <c r="PRQ203" s="605"/>
      <c r="PRR203" s="605"/>
      <c r="PRS203" s="605"/>
      <c r="PRT203" s="605"/>
      <c r="PRU203" s="605"/>
      <c r="PRV203" s="605"/>
      <c r="PRW203" s="605"/>
      <c r="PRX203" s="605"/>
      <c r="PRY203" s="605"/>
      <c r="PRZ203" s="605"/>
      <c r="PSA203" s="605"/>
      <c r="PSB203" s="605"/>
      <c r="PSC203" s="605"/>
      <c r="PSD203" s="605"/>
      <c r="PSE203" s="605"/>
      <c r="PSF203" s="605"/>
      <c r="PSG203" s="605"/>
      <c r="PSH203" s="605"/>
      <c r="PSI203" s="605"/>
      <c r="PSJ203" s="605"/>
      <c r="PSK203" s="605"/>
      <c r="PSL203" s="605"/>
      <c r="PSM203" s="605"/>
      <c r="PSN203" s="605"/>
      <c r="PSO203" s="605"/>
      <c r="PSP203" s="605"/>
      <c r="PSQ203" s="605"/>
      <c r="PSR203" s="605"/>
      <c r="PSS203" s="605"/>
      <c r="PST203" s="605"/>
      <c r="PSU203" s="605"/>
      <c r="PSV203" s="605"/>
      <c r="PSW203" s="605"/>
      <c r="PSX203" s="605"/>
      <c r="PSY203" s="605"/>
      <c r="PSZ203" s="605"/>
      <c r="PTA203" s="605"/>
      <c r="PTB203" s="605"/>
      <c r="PTC203" s="605"/>
      <c r="PTD203" s="605"/>
      <c r="PTE203" s="605"/>
      <c r="PTF203" s="605"/>
      <c r="PTG203" s="605"/>
      <c r="PTH203" s="605"/>
      <c r="PTI203" s="605"/>
      <c r="PTJ203" s="605"/>
      <c r="PTK203" s="605"/>
      <c r="PTL203" s="605"/>
      <c r="PTM203" s="605"/>
      <c r="PTN203" s="605"/>
      <c r="PTO203" s="605"/>
      <c r="PTP203" s="605"/>
      <c r="PTQ203" s="605"/>
      <c r="PTR203" s="605"/>
      <c r="PTS203" s="605"/>
      <c r="PTT203" s="605"/>
      <c r="PTU203" s="605"/>
      <c r="PTV203" s="605"/>
      <c r="PTW203" s="605"/>
      <c r="PTX203" s="605"/>
      <c r="PTY203" s="605"/>
      <c r="PTZ203" s="605"/>
      <c r="PUA203" s="605"/>
      <c r="PUB203" s="605"/>
      <c r="PUC203" s="605"/>
      <c r="PUD203" s="605"/>
      <c r="PUE203" s="605"/>
      <c r="PUF203" s="605"/>
      <c r="PUG203" s="605"/>
      <c r="PUH203" s="605"/>
      <c r="PUI203" s="605"/>
      <c r="PUJ203" s="605"/>
      <c r="PUK203" s="605"/>
      <c r="PUL203" s="605"/>
      <c r="PUM203" s="605"/>
      <c r="PUN203" s="605"/>
      <c r="PUO203" s="605"/>
      <c r="PUP203" s="605"/>
      <c r="PUQ203" s="605"/>
      <c r="PUR203" s="605"/>
      <c r="PUS203" s="605"/>
      <c r="PUT203" s="605"/>
      <c r="PUU203" s="605"/>
      <c r="PUV203" s="605"/>
      <c r="PUW203" s="605"/>
      <c r="PUX203" s="605"/>
      <c r="PUY203" s="605"/>
      <c r="PUZ203" s="605"/>
      <c r="PVA203" s="605"/>
      <c r="PVB203" s="605"/>
      <c r="PVC203" s="605"/>
      <c r="PVD203" s="605"/>
      <c r="PVE203" s="605"/>
      <c r="PVF203" s="605"/>
      <c r="PVG203" s="605"/>
      <c r="PVH203" s="605"/>
      <c r="PVI203" s="605"/>
      <c r="PVJ203" s="605"/>
      <c r="PVK203" s="605"/>
      <c r="PVL203" s="605"/>
      <c r="PVM203" s="605"/>
      <c r="PVN203" s="605"/>
      <c r="PVO203" s="605"/>
      <c r="PVP203" s="605"/>
      <c r="PVQ203" s="605"/>
      <c r="PVR203" s="605"/>
      <c r="PVS203" s="605"/>
      <c r="PVT203" s="605"/>
      <c r="PVU203" s="605"/>
      <c r="PVV203" s="605"/>
      <c r="PVW203" s="605"/>
      <c r="PVX203" s="605"/>
      <c r="PVY203" s="605"/>
      <c r="PVZ203" s="605"/>
      <c r="PWA203" s="605"/>
      <c r="PWB203" s="605"/>
      <c r="PWC203" s="605"/>
      <c r="PWD203" s="605"/>
      <c r="PWE203" s="605"/>
      <c r="PWF203" s="605"/>
      <c r="PWG203" s="605"/>
      <c r="PWH203" s="605"/>
      <c r="PWI203" s="605"/>
      <c r="PWJ203" s="605"/>
      <c r="PWK203" s="605"/>
      <c r="PWL203" s="605"/>
      <c r="PWM203" s="605"/>
      <c r="PWN203" s="605"/>
      <c r="PWO203" s="605"/>
      <c r="PWP203" s="605"/>
      <c r="PWQ203" s="605"/>
      <c r="PWR203" s="605"/>
      <c r="PWS203" s="605"/>
      <c r="PWT203" s="605"/>
      <c r="PWU203" s="605"/>
      <c r="PWV203" s="605"/>
      <c r="PWW203" s="605"/>
      <c r="PWX203" s="605"/>
      <c r="PWY203" s="605"/>
      <c r="PWZ203" s="605"/>
      <c r="PXA203" s="605"/>
      <c r="PXB203" s="605"/>
      <c r="PXC203" s="605"/>
      <c r="PXD203" s="605"/>
      <c r="PXE203" s="605"/>
      <c r="PXF203" s="605"/>
      <c r="PXG203" s="605"/>
      <c r="PXH203" s="605"/>
      <c r="PXI203" s="605"/>
      <c r="PXJ203" s="605"/>
      <c r="PXK203" s="605"/>
      <c r="PXL203" s="605"/>
      <c r="PXM203" s="605"/>
      <c r="PXN203" s="605"/>
      <c r="PXO203" s="605"/>
      <c r="PXP203" s="605"/>
      <c r="PXQ203" s="605"/>
      <c r="PXR203" s="605"/>
      <c r="PXS203" s="605"/>
      <c r="PXT203" s="605"/>
      <c r="PXU203" s="605"/>
      <c r="PXV203" s="605"/>
      <c r="PXW203" s="605"/>
      <c r="PXX203" s="605"/>
      <c r="PXY203" s="605"/>
      <c r="PXZ203" s="605"/>
      <c r="PYA203" s="605"/>
      <c r="PYB203" s="605"/>
      <c r="PYC203" s="605"/>
      <c r="PYD203" s="605"/>
      <c r="PYE203" s="605"/>
      <c r="PYF203" s="605"/>
      <c r="PYG203" s="605"/>
      <c r="PYH203" s="605"/>
      <c r="PYI203" s="605"/>
      <c r="PYJ203" s="605"/>
      <c r="PYK203" s="605"/>
      <c r="PYL203" s="605"/>
      <c r="PYM203" s="605"/>
      <c r="PYN203" s="605"/>
      <c r="PYO203" s="605"/>
      <c r="PYP203" s="605"/>
      <c r="PYQ203" s="605"/>
      <c r="PYR203" s="605"/>
      <c r="PYS203" s="605"/>
      <c r="PYT203" s="605"/>
      <c r="PYU203" s="605"/>
      <c r="PYV203" s="605"/>
      <c r="PYW203" s="605"/>
      <c r="PYX203" s="605"/>
      <c r="PYY203" s="605"/>
      <c r="PYZ203" s="605"/>
      <c r="PZA203" s="605"/>
      <c r="PZB203" s="605"/>
      <c r="PZC203" s="605"/>
      <c r="PZD203" s="605"/>
      <c r="PZE203" s="605"/>
      <c r="PZF203" s="605"/>
      <c r="PZG203" s="605"/>
      <c r="PZH203" s="605"/>
      <c r="PZI203" s="605"/>
      <c r="PZJ203" s="605"/>
      <c r="PZK203" s="605"/>
      <c r="PZL203" s="605"/>
      <c r="PZM203" s="605"/>
      <c r="PZN203" s="605"/>
      <c r="PZO203" s="605"/>
      <c r="PZP203" s="605"/>
      <c r="PZQ203" s="605"/>
      <c r="PZR203" s="605"/>
      <c r="PZS203" s="605"/>
      <c r="PZT203" s="605"/>
      <c r="PZU203" s="605"/>
      <c r="PZV203" s="605"/>
      <c r="PZW203" s="605"/>
      <c r="PZX203" s="605"/>
      <c r="PZY203" s="605"/>
      <c r="PZZ203" s="605"/>
      <c r="QAA203" s="605"/>
      <c r="QAB203" s="605"/>
      <c r="QAC203" s="605"/>
      <c r="QAD203" s="605"/>
      <c r="QAE203" s="605"/>
      <c r="QAF203" s="605"/>
      <c r="QAG203" s="605"/>
      <c r="QAH203" s="605"/>
      <c r="QAI203" s="605"/>
      <c r="QAJ203" s="605"/>
      <c r="QAK203" s="605"/>
      <c r="QAL203" s="605"/>
      <c r="QAM203" s="605"/>
      <c r="QAN203" s="605"/>
      <c r="QAO203" s="605"/>
      <c r="QAP203" s="605"/>
      <c r="QAQ203" s="605"/>
      <c r="QAR203" s="605"/>
      <c r="QAS203" s="605"/>
      <c r="QAT203" s="605"/>
      <c r="QAU203" s="605"/>
      <c r="QAV203" s="605"/>
      <c r="QAW203" s="605"/>
      <c r="QAX203" s="605"/>
      <c r="QAY203" s="605"/>
      <c r="QAZ203" s="605"/>
      <c r="QBA203" s="605"/>
      <c r="QBB203" s="605"/>
      <c r="QBC203" s="605"/>
      <c r="QBD203" s="605"/>
      <c r="QBE203" s="605"/>
      <c r="QBF203" s="605"/>
      <c r="QBG203" s="605"/>
      <c r="QBH203" s="605"/>
      <c r="QBI203" s="605"/>
      <c r="QBJ203" s="605"/>
      <c r="QBK203" s="605"/>
      <c r="QBL203" s="605"/>
      <c r="QBM203" s="605"/>
      <c r="QBN203" s="605"/>
      <c r="QBO203" s="605"/>
      <c r="QBP203" s="605"/>
      <c r="QBQ203" s="605"/>
      <c r="QBR203" s="605"/>
      <c r="QBS203" s="605"/>
      <c r="QBT203" s="605"/>
      <c r="QBU203" s="605"/>
      <c r="QBV203" s="605"/>
      <c r="QBW203" s="605"/>
      <c r="QBX203" s="605"/>
      <c r="QBY203" s="605"/>
      <c r="QBZ203" s="605"/>
      <c r="QCA203" s="605"/>
      <c r="QCB203" s="605"/>
      <c r="QCC203" s="605"/>
      <c r="QCD203" s="605"/>
      <c r="QCE203" s="605"/>
      <c r="QCF203" s="605"/>
      <c r="QCG203" s="605"/>
      <c r="QCH203" s="605"/>
      <c r="QCI203" s="605"/>
      <c r="QCJ203" s="605"/>
      <c r="QCK203" s="605"/>
      <c r="QCL203" s="605"/>
      <c r="QCM203" s="605"/>
      <c r="QCN203" s="605"/>
      <c r="QCO203" s="605"/>
      <c r="QCP203" s="605"/>
      <c r="QCQ203" s="605"/>
      <c r="QCR203" s="605"/>
      <c r="QCS203" s="605"/>
      <c r="QCT203" s="605"/>
      <c r="QCU203" s="605"/>
      <c r="QCV203" s="605"/>
      <c r="QCW203" s="605"/>
      <c r="QCX203" s="605"/>
      <c r="QCY203" s="605"/>
      <c r="QCZ203" s="605"/>
      <c r="QDA203" s="605"/>
      <c r="QDB203" s="605"/>
      <c r="QDC203" s="605"/>
      <c r="QDD203" s="605"/>
      <c r="QDE203" s="605"/>
      <c r="QDF203" s="605"/>
      <c r="QDG203" s="605"/>
      <c r="QDH203" s="605"/>
      <c r="QDI203" s="605"/>
      <c r="QDJ203" s="605"/>
      <c r="QDK203" s="605"/>
      <c r="QDL203" s="605"/>
      <c r="QDM203" s="605"/>
      <c r="QDN203" s="605"/>
      <c r="QDO203" s="605"/>
      <c r="QDP203" s="605"/>
      <c r="QDQ203" s="605"/>
      <c r="QDR203" s="605"/>
      <c r="QDS203" s="605"/>
      <c r="QDT203" s="605"/>
      <c r="QDU203" s="605"/>
      <c r="QDV203" s="605"/>
      <c r="QDW203" s="605"/>
      <c r="QDX203" s="605"/>
      <c r="QDY203" s="605"/>
      <c r="QDZ203" s="605"/>
      <c r="QEA203" s="605"/>
      <c r="QEB203" s="605"/>
      <c r="QEC203" s="605"/>
      <c r="QED203" s="605"/>
      <c r="QEE203" s="605"/>
      <c r="QEF203" s="605"/>
      <c r="QEG203" s="605"/>
      <c r="QEH203" s="605"/>
      <c r="QEI203" s="605"/>
      <c r="QEJ203" s="605"/>
      <c r="QEK203" s="605"/>
      <c r="QEL203" s="605"/>
      <c r="QEM203" s="605"/>
      <c r="QEN203" s="605"/>
      <c r="QEO203" s="605"/>
      <c r="QEP203" s="605"/>
      <c r="QEQ203" s="605"/>
      <c r="QER203" s="605"/>
      <c r="QES203" s="605"/>
      <c r="QET203" s="605"/>
      <c r="QEU203" s="605"/>
      <c r="QEV203" s="605"/>
      <c r="QEW203" s="605"/>
      <c r="QEX203" s="605"/>
      <c r="QEY203" s="605"/>
      <c r="QEZ203" s="605"/>
      <c r="QFA203" s="605"/>
      <c r="QFB203" s="605"/>
      <c r="QFC203" s="605"/>
      <c r="QFD203" s="605"/>
      <c r="QFE203" s="605"/>
      <c r="QFF203" s="605"/>
      <c r="QFG203" s="605"/>
      <c r="QFH203" s="605"/>
      <c r="QFI203" s="605"/>
      <c r="QFJ203" s="605"/>
      <c r="QFK203" s="605"/>
      <c r="QFL203" s="605"/>
      <c r="QFM203" s="605"/>
      <c r="QFN203" s="605"/>
      <c r="QFO203" s="605"/>
      <c r="QFP203" s="605"/>
      <c r="QFQ203" s="605"/>
      <c r="QFR203" s="605"/>
      <c r="QFS203" s="605"/>
      <c r="QFT203" s="605"/>
      <c r="QFU203" s="605"/>
      <c r="QFV203" s="605"/>
      <c r="QFW203" s="605"/>
      <c r="QFX203" s="605"/>
      <c r="QFY203" s="605"/>
      <c r="QFZ203" s="605"/>
      <c r="QGA203" s="605"/>
      <c r="QGB203" s="605"/>
      <c r="QGC203" s="605"/>
      <c r="QGD203" s="605"/>
      <c r="QGE203" s="605"/>
      <c r="QGF203" s="605"/>
      <c r="QGG203" s="605"/>
      <c r="QGH203" s="605"/>
      <c r="QGI203" s="605"/>
      <c r="QGJ203" s="605"/>
      <c r="QGK203" s="605"/>
      <c r="QGL203" s="605"/>
      <c r="QGM203" s="605"/>
      <c r="QGN203" s="605"/>
      <c r="QGO203" s="605"/>
      <c r="QGP203" s="605"/>
      <c r="QGQ203" s="605"/>
      <c r="QGR203" s="605"/>
      <c r="QGS203" s="605"/>
      <c r="QGT203" s="605"/>
      <c r="QGU203" s="605"/>
      <c r="QGV203" s="605"/>
      <c r="QGW203" s="605"/>
      <c r="QGX203" s="605"/>
      <c r="QGY203" s="605"/>
      <c r="QGZ203" s="605"/>
      <c r="QHA203" s="605"/>
      <c r="QHB203" s="605"/>
      <c r="QHC203" s="605"/>
      <c r="QHD203" s="605"/>
      <c r="QHE203" s="605"/>
      <c r="QHF203" s="605"/>
      <c r="QHG203" s="605"/>
      <c r="QHH203" s="605"/>
      <c r="QHI203" s="605"/>
      <c r="QHJ203" s="605"/>
      <c r="QHK203" s="605"/>
      <c r="QHL203" s="605"/>
      <c r="QHM203" s="605"/>
      <c r="QHN203" s="605"/>
      <c r="QHO203" s="605"/>
      <c r="QHP203" s="605"/>
      <c r="QHQ203" s="605"/>
      <c r="QHR203" s="605"/>
      <c r="QHS203" s="605"/>
      <c r="QHT203" s="605"/>
      <c r="QHU203" s="605"/>
      <c r="QHV203" s="605"/>
      <c r="QHW203" s="605"/>
      <c r="QHX203" s="605"/>
      <c r="QHY203" s="605"/>
      <c r="QHZ203" s="605"/>
      <c r="QIA203" s="605"/>
      <c r="QIB203" s="605"/>
      <c r="QIC203" s="605"/>
      <c r="QID203" s="605"/>
      <c r="QIE203" s="605"/>
      <c r="QIF203" s="605"/>
      <c r="QIG203" s="605"/>
      <c r="QIH203" s="605"/>
      <c r="QII203" s="605"/>
      <c r="QIJ203" s="605"/>
      <c r="QIK203" s="605"/>
      <c r="QIL203" s="605"/>
      <c r="QIM203" s="605"/>
      <c r="QIN203" s="605"/>
      <c r="QIO203" s="605"/>
      <c r="QIP203" s="605"/>
      <c r="QIQ203" s="605"/>
      <c r="QIR203" s="605"/>
      <c r="QIS203" s="605"/>
      <c r="QIT203" s="605"/>
      <c r="QIU203" s="605"/>
      <c r="QIV203" s="605"/>
      <c r="QIW203" s="605"/>
      <c r="QIX203" s="605"/>
      <c r="QIY203" s="605"/>
      <c r="QIZ203" s="605"/>
      <c r="QJA203" s="605"/>
      <c r="QJB203" s="605"/>
      <c r="QJC203" s="605"/>
      <c r="QJD203" s="605"/>
      <c r="QJE203" s="605"/>
      <c r="QJF203" s="605"/>
      <c r="QJG203" s="605"/>
      <c r="QJH203" s="605"/>
      <c r="QJI203" s="605"/>
      <c r="QJJ203" s="605"/>
      <c r="QJK203" s="605"/>
      <c r="QJL203" s="605"/>
      <c r="QJM203" s="605"/>
      <c r="QJN203" s="605"/>
      <c r="QJO203" s="605"/>
      <c r="QJP203" s="605"/>
      <c r="QJQ203" s="605"/>
      <c r="QJR203" s="605"/>
      <c r="QJS203" s="605"/>
      <c r="QJT203" s="605"/>
      <c r="QJU203" s="605"/>
      <c r="QJV203" s="605"/>
      <c r="QJW203" s="605"/>
      <c r="QJX203" s="605"/>
      <c r="QJY203" s="605"/>
      <c r="QJZ203" s="605"/>
      <c r="QKA203" s="605"/>
      <c r="QKB203" s="605"/>
      <c r="QKC203" s="605"/>
      <c r="QKD203" s="605"/>
      <c r="QKE203" s="605"/>
      <c r="QKF203" s="605"/>
      <c r="QKG203" s="605"/>
      <c r="QKH203" s="605"/>
      <c r="QKI203" s="605"/>
      <c r="QKJ203" s="605"/>
      <c r="QKK203" s="605"/>
      <c r="QKL203" s="605"/>
      <c r="QKM203" s="605"/>
      <c r="QKN203" s="605"/>
      <c r="QKO203" s="605"/>
      <c r="QKP203" s="605"/>
      <c r="QKQ203" s="605"/>
      <c r="QKR203" s="605"/>
      <c r="QKS203" s="605"/>
      <c r="QKT203" s="605"/>
      <c r="QKU203" s="605"/>
      <c r="QKV203" s="605"/>
      <c r="QKW203" s="605"/>
      <c r="QKX203" s="605"/>
      <c r="QKY203" s="605"/>
      <c r="QKZ203" s="605"/>
      <c r="QLA203" s="605"/>
      <c r="QLB203" s="605"/>
      <c r="QLC203" s="605"/>
      <c r="QLD203" s="605"/>
      <c r="QLE203" s="605"/>
      <c r="QLF203" s="605"/>
      <c r="QLG203" s="605"/>
      <c r="QLH203" s="605"/>
      <c r="QLI203" s="605"/>
      <c r="QLJ203" s="605"/>
      <c r="QLK203" s="605"/>
      <c r="QLL203" s="605"/>
      <c r="QLM203" s="605"/>
      <c r="QLN203" s="605"/>
      <c r="QLO203" s="605"/>
      <c r="QLP203" s="605"/>
      <c r="QLQ203" s="605"/>
      <c r="QLR203" s="605"/>
      <c r="QLS203" s="605"/>
      <c r="QLT203" s="605"/>
      <c r="QLU203" s="605"/>
      <c r="QLV203" s="605"/>
      <c r="QLW203" s="605"/>
      <c r="QLX203" s="605"/>
      <c r="QLY203" s="605"/>
      <c r="QLZ203" s="605"/>
      <c r="QMA203" s="605"/>
      <c r="QMB203" s="605"/>
      <c r="QMC203" s="605"/>
      <c r="QMD203" s="605"/>
      <c r="QME203" s="605"/>
      <c r="QMF203" s="605"/>
      <c r="QMG203" s="605"/>
      <c r="QMH203" s="605"/>
      <c r="QMI203" s="605"/>
      <c r="QMJ203" s="605"/>
      <c r="QMK203" s="605"/>
      <c r="QML203" s="605"/>
      <c r="QMM203" s="605"/>
      <c r="QMN203" s="605"/>
      <c r="QMO203" s="605"/>
      <c r="QMP203" s="605"/>
      <c r="QMQ203" s="605"/>
      <c r="QMR203" s="605"/>
      <c r="QMS203" s="605"/>
      <c r="QMT203" s="605"/>
      <c r="QMU203" s="605"/>
      <c r="QMV203" s="605"/>
      <c r="QMW203" s="605"/>
      <c r="QMX203" s="605"/>
      <c r="QMY203" s="605"/>
      <c r="QMZ203" s="605"/>
      <c r="QNA203" s="605"/>
      <c r="QNB203" s="605"/>
      <c r="QNC203" s="605"/>
      <c r="QND203" s="605"/>
      <c r="QNE203" s="605"/>
      <c r="QNF203" s="605"/>
      <c r="QNG203" s="605"/>
      <c r="QNH203" s="605"/>
      <c r="QNI203" s="605"/>
      <c r="QNJ203" s="605"/>
      <c r="QNK203" s="605"/>
      <c r="QNL203" s="605"/>
      <c r="QNM203" s="605"/>
      <c r="QNN203" s="605"/>
      <c r="QNO203" s="605"/>
      <c r="QNP203" s="605"/>
      <c r="QNQ203" s="605"/>
      <c r="QNR203" s="605"/>
      <c r="QNS203" s="605"/>
      <c r="QNT203" s="605"/>
      <c r="QNU203" s="605"/>
      <c r="QNV203" s="605"/>
      <c r="QNW203" s="605"/>
      <c r="QNX203" s="605"/>
      <c r="QNY203" s="605"/>
      <c r="QNZ203" s="605"/>
      <c r="QOA203" s="605"/>
      <c r="QOB203" s="605"/>
      <c r="QOC203" s="605"/>
      <c r="QOD203" s="605"/>
      <c r="QOE203" s="605"/>
      <c r="QOF203" s="605"/>
      <c r="QOG203" s="605"/>
      <c r="QOH203" s="605"/>
      <c r="QOI203" s="605"/>
      <c r="QOJ203" s="605"/>
      <c r="QOK203" s="605"/>
      <c r="QOL203" s="605"/>
      <c r="QOM203" s="605"/>
      <c r="QON203" s="605"/>
      <c r="QOO203" s="605"/>
      <c r="QOP203" s="605"/>
      <c r="QOQ203" s="605"/>
      <c r="QOR203" s="605"/>
      <c r="QOS203" s="605"/>
      <c r="QOT203" s="605"/>
      <c r="QOU203" s="605"/>
      <c r="QOV203" s="605"/>
      <c r="QOW203" s="605"/>
      <c r="QOX203" s="605"/>
      <c r="QOY203" s="605"/>
      <c r="QOZ203" s="605"/>
      <c r="QPA203" s="605"/>
      <c r="QPB203" s="605"/>
      <c r="QPC203" s="605"/>
      <c r="QPD203" s="605"/>
      <c r="QPE203" s="605"/>
      <c r="QPF203" s="605"/>
      <c r="QPG203" s="605"/>
      <c r="QPH203" s="605"/>
      <c r="QPI203" s="605"/>
      <c r="QPJ203" s="605"/>
      <c r="QPK203" s="605"/>
      <c r="QPL203" s="605"/>
      <c r="QPM203" s="605"/>
      <c r="QPN203" s="605"/>
      <c r="QPO203" s="605"/>
      <c r="QPP203" s="605"/>
      <c r="QPQ203" s="605"/>
      <c r="QPR203" s="605"/>
      <c r="QPS203" s="605"/>
      <c r="QPT203" s="605"/>
      <c r="QPU203" s="605"/>
      <c r="QPV203" s="605"/>
      <c r="QPW203" s="605"/>
      <c r="QPX203" s="605"/>
      <c r="QPY203" s="605"/>
      <c r="QPZ203" s="605"/>
      <c r="QQA203" s="605"/>
      <c r="QQB203" s="605"/>
      <c r="QQC203" s="605"/>
      <c r="QQD203" s="605"/>
      <c r="QQE203" s="605"/>
      <c r="QQF203" s="605"/>
      <c r="QQG203" s="605"/>
      <c r="QQH203" s="605"/>
      <c r="QQI203" s="605"/>
      <c r="QQJ203" s="605"/>
      <c r="QQK203" s="605"/>
      <c r="QQL203" s="605"/>
      <c r="QQM203" s="605"/>
      <c r="QQN203" s="605"/>
      <c r="QQO203" s="605"/>
      <c r="QQP203" s="605"/>
      <c r="QQQ203" s="605"/>
      <c r="QQR203" s="605"/>
      <c r="QQS203" s="605"/>
      <c r="QQT203" s="605"/>
      <c r="QQU203" s="605"/>
      <c r="QQV203" s="605"/>
      <c r="QQW203" s="605"/>
      <c r="QQX203" s="605"/>
      <c r="QQY203" s="605"/>
      <c r="QQZ203" s="605"/>
      <c r="QRA203" s="605"/>
      <c r="QRB203" s="605"/>
      <c r="QRC203" s="605"/>
      <c r="QRD203" s="605"/>
      <c r="QRE203" s="605"/>
      <c r="QRF203" s="605"/>
      <c r="QRG203" s="605"/>
      <c r="QRH203" s="605"/>
      <c r="QRI203" s="605"/>
      <c r="QRJ203" s="605"/>
      <c r="QRK203" s="605"/>
      <c r="QRL203" s="605"/>
      <c r="QRM203" s="605"/>
      <c r="QRN203" s="605"/>
      <c r="QRO203" s="605"/>
      <c r="QRP203" s="605"/>
      <c r="QRQ203" s="605"/>
      <c r="QRR203" s="605"/>
      <c r="QRS203" s="605"/>
      <c r="QRT203" s="605"/>
      <c r="QRU203" s="605"/>
      <c r="QRV203" s="605"/>
      <c r="QRW203" s="605"/>
      <c r="QRX203" s="605"/>
      <c r="QRY203" s="605"/>
      <c r="QRZ203" s="605"/>
      <c r="QSA203" s="605"/>
      <c r="QSB203" s="605"/>
      <c r="QSC203" s="605"/>
      <c r="QSD203" s="605"/>
      <c r="QSE203" s="605"/>
      <c r="QSF203" s="605"/>
      <c r="QSG203" s="605"/>
      <c r="QSH203" s="605"/>
      <c r="QSI203" s="605"/>
      <c r="QSJ203" s="605"/>
      <c r="QSK203" s="605"/>
      <c r="QSL203" s="605"/>
      <c r="QSM203" s="605"/>
      <c r="QSN203" s="605"/>
      <c r="QSO203" s="605"/>
      <c r="QSP203" s="605"/>
      <c r="QSQ203" s="605"/>
      <c r="QSR203" s="605"/>
      <c r="QSS203" s="605"/>
      <c r="QST203" s="605"/>
      <c r="QSU203" s="605"/>
      <c r="QSV203" s="605"/>
      <c r="QSW203" s="605"/>
      <c r="QSX203" s="605"/>
      <c r="QSY203" s="605"/>
      <c r="QSZ203" s="605"/>
      <c r="QTA203" s="605"/>
      <c r="QTB203" s="605"/>
      <c r="QTC203" s="605"/>
      <c r="QTD203" s="605"/>
      <c r="QTE203" s="605"/>
      <c r="QTF203" s="605"/>
      <c r="QTG203" s="605"/>
      <c r="QTH203" s="605"/>
      <c r="QTI203" s="605"/>
      <c r="QTJ203" s="605"/>
      <c r="QTK203" s="605"/>
      <c r="QTL203" s="605"/>
      <c r="QTM203" s="605"/>
      <c r="QTN203" s="605"/>
      <c r="QTO203" s="605"/>
      <c r="QTP203" s="605"/>
      <c r="QTQ203" s="605"/>
      <c r="QTR203" s="605"/>
      <c r="QTS203" s="605"/>
      <c r="QTT203" s="605"/>
      <c r="QTU203" s="605"/>
      <c r="QTV203" s="605"/>
      <c r="QTW203" s="605"/>
      <c r="QTX203" s="605"/>
      <c r="QTY203" s="605"/>
      <c r="QTZ203" s="605"/>
      <c r="QUA203" s="605"/>
      <c r="QUB203" s="605"/>
      <c r="QUC203" s="605"/>
      <c r="QUD203" s="605"/>
      <c r="QUE203" s="605"/>
      <c r="QUF203" s="605"/>
      <c r="QUG203" s="605"/>
      <c r="QUH203" s="605"/>
      <c r="QUI203" s="605"/>
      <c r="QUJ203" s="605"/>
      <c r="QUK203" s="605"/>
      <c r="QUL203" s="605"/>
      <c r="QUM203" s="605"/>
      <c r="QUN203" s="605"/>
      <c r="QUO203" s="605"/>
      <c r="QUP203" s="605"/>
      <c r="QUQ203" s="605"/>
      <c r="QUR203" s="605"/>
      <c r="QUS203" s="605"/>
      <c r="QUT203" s="605"/>
      <c r="QUU203" s="605"/>
      <c r="QUV203" s="605"/>
      <c r="QUW203" s="605"/>
      <c r="QUX203" s="605"/>
      <c r="QUY203" s="605"/>
      <c r="QUZ203" s="605"/>
      <c r="QVA203" s="605"/>
      <c r="QVB203" s="605"/>
      <c r="QVC203" s="605"/>
      <c r="QVD203" s="605"/>
      <c r="QVE203" s="605"/>
      <c r="QVF203" s="605"/>
      <c r="QVG203" s="605"/>
      <c r="QVH203" s="605"/>
      <c r="QVI203" s="605"/>
      <c r="QVJ203" s="605"/>
      <c r="QVK203" s="605"/>
      <c r="QVL203" s="605"/>
      <c r="QVM203" s="605"/>
      <c r="QVN203" s="605"/>
      <c r="QVO203" s="605"/>
      <c r="QVP203" s="605"/>
      <c r="QVQ203" s="605"/>
      <c r="QVR203" s="605"/>
      <c r="QVS203" s="605"/>
      <c r="QVT203" s="605"/>
      <c r="QVU203" s="605"/>
      <c r="QVV203" s="605"/>
      <c r="QVW203" s="605"/>
      <c r="QVX203" s="605"/>
      <c r="QVY203" s="605"/>
      <c r="QVZ203" s="605"/>
      <c r="QWA203" s="605"/>
      <c r="QWB203" s="605"/>
      <c r="QWC203" s="605"/>
      <c r="QWD203" s="605"/>
      <c r="QWE203" s="605"/>
      <c r="QWF203" s="605"/>
      <c r="QWG203" s="605"/>
      <c r="QWH203" s="605"/>
      <c r="QWI203" s="605"/>
      <c r="QWJ203" s="605"/>
      <c r="QWK203" s="605"/>
      <c r="QWL203" s="605"/>
      <c r="QWM203" s="605"/>
      <c r="QWN203" s="605"/>
      <c r="QWO203" s="605"/>
      <c r="QWP203" s="605"/>
      <c r="QWQ203" s="605"/>
      <c r="QWR203" s="605"/>
      <c r="QWS203" s="605"/>
      <c r="QWT203" s="605"/>
      <c r="QWU203" s="605"/>
      <c r="QWV203" s="605"/>
      <c r="QWW203" s="605"/>
      <c r="QWX203" s="605"/>
      <c r="QWY203" s="605"/>
      <c r="QWZ203" s="605"/>
      <c r="QXA203" s="605"/>
      <c r="QXB203" s="605"/>
      <c r="QXC203" s="605"/>
      <c r="QXD203" s="605"/>
      <c r="QXE203" s="605"/>
      <c r="QXF203" s="605"/>
      <c r="QXG203" s="605"/>
      <c r="QXH203" s="605"/>
      <c r="QXI203" s="605"/>
      <c r="QXJ203" s="605"/>
      <c r="QXK203" s="605"/>
      <c r="QXL203" s="605"/>
      <c r="QXM203" s="605"/>
      <c r="QXN203" s="605"/>
      <c r="QXO203" s="605"/>
      <c r="QXP203" s="605"/>
      <c r="QXQ203" s="605"/>
      <c r="QXR203" s="605"/>
      <c r="QXS203" s="605"/>
      <c r="QXT203" s="605"/>
      <c r="QXU203" s="605"/>
      <c r="QXV203" s="605"/>
      <c r="QXW203" s="605"/>
      <c r="QXX203" s="605"/>
      <c r="QXY203" s="605"/>
      <c r="QXZ203" s="605"/>
      <c r="QYA203" s="605"/>
      <c r="QYB203" s="605"/>
      <c r="QYC203" s="605"/>
      <c r="QYD203" s="605"/>
      <c r="QYE203" s="605"/>
      <c r="QYF203" s="605"/>
      <c r="QYG203" s="605"/>
      <c r="QYH203" s="605"/>
      <c r="QYI203" s="605"/>
      <c r="QYJ203" s="605"/>
      <c r="QYK203" s="605"/>
      <c r="QYL203" s="605"/>
      <c r="QYM203" s="605"/>
      <c r="QYN203" s="605"/>
      <c r="QYO203" s="605"/>
      <c r="QYP203" s="605"/>
      <c r="QYQ203" s="605"/>
      <c r="QYR203" s="605"/>
      <c r="QYS203" s="605"/>
      <c r="QYT203" s="605"/>
      <c r="QYU203" s="605"/>
      <c r="QYV203" s="605"/>
      <c r="QYW203" s="605"/>
      <c r="QYX203" s="605"/>
      <c r="QYY203" s="605"/>
      <c r="QYZ203" s="605"/>
      <c r="QZA203" s="605"/>
      <c r="QZB203" s="605"/>
      <c r="QZC203" s="605"/>
      <c r="QZD203" s="605"/>
      <c r="QZE203" s="605"/>
      <c r="QZF203" s="605"/>
      <c r="QZG203" s="605"/>
      <c r="QZH203" s="605"/>
      <c r="QZI203" s="605"/>
      <c r="QZJ203" s="605"/>
      <c r="QZK203" s="605"/>
      <c r="QZL203" s="605"/>
      <c r="QZM203" s="605"/>
      <c r="QZN203" s="605"/>
      <c r="QZO203" s="605"/>
      <c r="QZP203" s="605"/>
      <c r="QZQ203" s="605"/>
      <c r="QZR203" s="605"/>
      <c r="QZS203" s="605"/>
      <c r="QZT203" s="605"/>
      <c r="QZU203" s="605"/>
      <c r="QZV203" s="605"/>
      <c r="QZW203" s="605"/>
      <c r="QZX203" s="605"/>
      <c r="QZY203" s="605"/>
      <c r="QZZ203" s="605"/>
      <c r="RAA203" s="605"/>
      <c r="RAB203" s="605"/>
      <c r="RAC203" s="605"/>
      <c r="RAD203" s="605"/>
      <c r="RAE203" s="605"/>
      <c r="RAF203" s="605"/>
      <c r="RAG203" s="605"/>
      <c r="RAH203" s="605"/>
      <c r="RAI203" s="605"/>
      <c r="RAJ203" s="605"/>
      <c r="RAK203" s="605"/>
      <c r="RAL203" s="605"/>
      <c r="RAM203" s="605"/>
      <c r="RAN203" s="605"/>
      <c r="RAO203" s="605"/>
      <c r="RAP203" s="605"/>
      <c r="RAQ203" s="605"/>
      <c r="RAR203" s="605"/>
      <c r="RAS203" s="605"/>
      <c r="RAT203" s="605"/>
      <c r="RAU203" s="605"/>
      <c r="RAV203" s="605"/>
      <c r="RAW203" s="605"/>
      <c r="RAX203" s="605"/>
      <c r="RAY203" s="605"/>
      <c r="RAZ203" s="605"/>
      <c r="RBA203" s="605"/>
      <c r="RBB203" s="605"/>
      <c r="RBC203" s="605"/>
      <c r="RBD203" s="605"/>
      <c r="RBE203" s="605"/>
      <c r="RBF203" s="605"/>
      <c r="RBG203" s="605"/>
      <c r="RBH203" s="605"/>
      <c r="RBI203" s="605"/>
      <c r="RBJ203" s="605"/>
      <c r="RBK203" s="605"/>
      <c r="RBL203" s="605"/>
      <c r="RBM203" s="605"/>
      <c r="RBN203" s="605"/>
      <c r="RBO203" s="605"/>
      <c r="RBP203" s="605"/>
      <c r="RBQ203" s="605"/>
      <c r="RBR203" s="605"/>
      <c r="RBS203" s="605"/>
      <c r="RBT203" s="605"/>
      <c r="RBU203" s="605"/>
      <c r="RBV203" s="605"/>
      <c r="RBW203" s="605"/>
      <c r="RBX203" s="605"/>
      <c r="RBY203" s="605"/>
      <c r="RBZ203" s="605"/>
      <c r="RCA203" s="605"/>
      <c r="RCB203" s="605"/>
      <c r="RCC203" s="605"/>
      <c r="RCD203" s="605"/>
      <c r="RCE203" s="605"/>
      <c r="RCF203" s="605"/>
      <c r="RCG203" s="605"/>
      <c r="RCH203" s="605"/>
      <c r="RCI203" s="605"/>
      <c r="RCJ203" s="605"/>
      <c r="RCK203" s="605"/>
      <c r="RCL203" s="605"/>
      <c r="RCM203" s="605"/>
      <c r="RCN203" s="605"/>
      <c r="RCO203" s="605"/>
      <c r="RCP203" s="605"/>
      <c r="RCQ203" s="605"/>
      <c r="RCR203" s="605"/>
      <c r="RCS203" s="605"/>
      <c r="RCT203" s="605"/>
      <c r="RCU203" s="605"/>
      <c r="RCV203" s="605"/>
      <c r="RCW203" s="605"/>
      <c r="RCX203" s="605"/>
      <c r="RCY203" s="605"/>
      <c r="RCZ203" s="605"/>
      <c r="RDA203" s="605"/>
      <c r="RDB203" s="605"/>
      <c r="RDC203" s="605"/>
      <c r="RDD203" s="605"/>
      <c r="RDE203" s="605"/>
      <c r="RDF203" s="605"/>
      <c r="RDG203" s="605"/>
      <c r="RDH203" s="605"/>
      <c r="RDI203" s="605"/>
      <c r="RDJ203" s="605"/>
      <c r="RDK203" s="605"/>
      <c r="RDL203" s="605"/>
      <c r="RDM203" s="605"/>
      <c r="RDN203" s="605"/>
      <c r="RDO203" s="605"/>
      <c r="RDP203" s="605"/>
      <c r="RDQ203" s="605"/>
      <c r="RDR203" s="605"/>
      <c r="RDS203" s="605"/>
      <c r="RDT203" s="605"/>
      <c r="RDU203" s="605"/>
      <c r="RDV203" s="605"/>
      <c r="RDW203" s="605"/>
      <c r="RDX203" s="605"/>
      <c r="RDY203" s="605"/>
      <c r="RDZ203" s="605"/>
      <c r="REA203" s="605"/>
      <c r="REB203" s="605"/>
      <c r="REC203" s="605"/>
      <c r="RED203" s="605"/>
      <c r="REE203" s="605"/>
      <c r="REF203" s="605"/>
      <c r="REG203" s="605"/>
      <c r="REH203" s="605"/>
      <c r="REI203" s="605"/>
      <c r="REJ203" s="605"/>
      <c r="REK203" s="605"/>
      <c r="REL203" s="605"/>
      <c r="REM203" s="605"/>
      <c r="REN203" s="605"/>
      <c r="REO203" s="605"/>
      <c r="REP203" s="605"/>
      <c r="REQ203" s="605"/>
      <c r="RER203" s="605"/>
      <c r="RES203" s="605"/>
      <c r="RET203" s="605"/>
      <c r="REU203" s="605"/>
      <c r="REV203" s="605"/>
      <c r="REW203" s="605"/>
      <c r="REX203" s="605"/>
      <c r="REY203" s="605"/>
      <c r="REZ203" s="605"/>
      <c r="RFA203" s="605"/>
      <c r="RFB203" s="605"/>
      <c r="RFC203" s="605"/>
      <c r="RFD203" s="605"/>
      <c r="RFE203" s="605"/>
      <c r="RFF203" s="605"/>
      <c r="RFG203" s="605"/>
      <c r="RFH203" s="605"/>
      <c r="RFI203" s="605"/>
      <c r="RFJ203" s="605"/>
      <c r="RFK203" s="605"/>
      <c r="RFL203" s="605"/>
      <c r="RFM203" s="605"/>
      <c r="RFN203" s="605"/>
      <c r="RFO203" s="605"/>
      <c r="RFP203" s="605"/>
      <c r="RFQ203" s="605"/>
      <c r="RFR203" s="605"/>
      <c r="RFS203" s="605"/>
      <c r="RFT203" s="605"/>
      <c r="RFU203" s="605"/>
      <c r="RFV203" s="605"/>
      <c r="RFW203" s="605"/>
      <c r="RFX203" s="605"/>
      <c r="RFY203" s="605"/>
      <c r="RFZ203" s="605"/>
      <c r="RGA203" s="605"/>
      <c r="RGB203" s="605"/>
      <c r="RGC203" s="605"/>
      <c r="RGD203" s="605"/>
      <c r="RGE203" s="605"/>
      <c r="RGF203" s="605"/>
      <c r="RGG203" s="605"/>
      <c r="RGH203" s="605"/>
      <c r="RGI203" s="605"/>
      <c r="RGJ203" s="605"/>
      <c r="RGK203" s="605"/>
      <c r="RGL203" s="605"/>
      <c r="RGM203" s="605"/>
      <c r="RGN203" s="605"/>
      <c r="RGO203" s="605"/>
      <c r="RGP203" s="605"/>
      <c r="RGQ203" s="605"/>
      <c r="RGR203" s="605"/>
      <c r="RGS203" s="605"/>
      <c r="RGT203" s="605"/>
      <c r="RGU203" s="605"/>
      <c r="RGV203" s="605"/>
      <c r="RGW203" s="605"/>
      <c r="RGX203" s="605"/>
      <c r="RGY203" s="605"/>
      <c r="RGZ203" s="605"/>
      <c r="RHA203" s="605"/>
      <c r="RHB203" s="605"/>
      <c r="RHC203" s="605"/>
      <c r="RHD203" s="605"/>
      <c r="RHE203" s="605"/>
      <c r="RHF203" s="605"/>
      <c r="RHG203" s="605"/>
      <c r="RHH203" s="605"/>
      <c r="RHI203" s="605"/>
      <c r="RHJ203" s="605"/>
      <c r="RHK203" s="605"/>
      <c r="RHL203" s="605"/>
      <c r="RHM203" s="605"/>
      <c r="RHN203" s="605"/>
      <c r="RHO203" s="605"/>
      <c r="RHP203" s="605"/>
      <c r="RHQ203" s="605"/>
      <c r="RHR203" s="605"/>
      <c r="RHS203" s="605"/>
      <c r="RHT203" s="605"/>
      <c r="RHU203" s="605"/>
      <c r="RHV203" s="605"/>
      <c r="RHW203" s="605"/>
      <c r="RHX203" s="605"/>
      <c r="RHY203" s="605"/>
      <c r="RHZ203" s="605"/>
      <c r="RIA203" s="605"/>
      <c r="RIB203" s="605"/>
      <c r="RIC203" s="605"/>
      <c r="RID203" s="605"/>
      <c r="RIE203" s="605"/>
      <c r="RIF203" s="605"/>
      <c r="RIG203" s="605"/>
      <c r="RIH203" s="605"/>
      <c r="RII203" s="605"/>
      <c r="RIJ203" s="605"/>
      <c r="RIK203" s="605"/>
      <c r="RIL203" s="605"/>
      <c r="RIM203" s="605"/>
      <c r="RIN203" s="605"/>
      <c r="RIO203" s="605"/>
      <c r="RIP203" s="605"/>
      <c r="RIQ203" s="605"/>
      <c r="RIR203" s="605"/>
      <c r="RIS203" s="605"/>
      <c r="RIT203" s="605"/>
      <c r="RIU203" s="605"/>
      <c r="RIV203" s="605"/>
      <c r="RIW203" s="605"/>
      <c r="RIX203" s="605"/>
      <c r="RIY203" s="605"/>
      <c r="RIZ203" s="605"/>
      <c r="RJA203" s="605"/>
      <c r="RJB203" s="605"/>
      <c r="RJC203" s="605"/>
      <c r="RJD203" s="605"/>
      <c r="RJE203" s="605"/>
      <c r="RJF203" s="605"/>
      <c r="RJG203" s="605"/>
      <c r="RJH203" s="605"/>
      <c r="RJI203" s="605"/>
      <c r="RJJ203" s="605"/>
      <c r="RJK203" s="605"/>
      <c r="RJL203" s="605"/>
      <c r="RJM203" s="605"/>
      <c r="RJN203" s="605"/>
      <c r="RJO203" s="605"/>
      <c r="RJP203" s="605"/>
      <c r="RJQ203" s="605"/>
      <c r="RJR203" s="605"/>
      <c r="RJS203" s="605"/>
      <c r="RJT203" s="605"/>
      <c r="RJU203" s="605"/>
      <c r="RJV203" s="605"/>
      <c r="RJW203" s="605"/>
      <c r="RJX203" s="605"/>
      <c r="RJY203" s="605"/>
      <c r="RJZ203" s="605"/>
      <c r="RKA203" s="605"/>
      <c r="RKB203" s="605"/>
      <c r="RKC203" s="605"/>
      <c r="RKD203" s="605"/>
      <c r="RKE203" s="605"/>
      <c r="RKF203" s="605"/>
      <c r="RKG203" s="605"/>
      <c r="RKH203" s="605"/>
      <c r="RKI203" s="605"/>
      <c r="RKJ203" s="605"/>
      <c r="RKK203" s="605"/>
      <c r="RKL203" s="605"/>
      <c r="RKM203" s="605"/>
      <c r="RKN203" s="605"/>
      <c r="RKO203" s="605"/>
      <c r="RKP203" s="605"/>
      <c r="RKQ203" s="605"/>
      <c r="RKR203" s="605"/>
      <c r="RKS203" s="605"/>
      <c r="RKT203" s="605"/>
      <c r="RKU203" s="605"/>
      <c r="RKV203" s="605"/>
      <c r="RKW203" s="605"/>
      <c r="RKX203" s="605"/>
      <c r="RKY203" s="605"/>
      <c r="RKZ203" s="605"/>
      <c r="RLA203" s="605"/>
      <c r="RLB203" s="605"/>
      <c r="RLC203" s="605"/>
      <c r="RLD203" s="605"/>
      <c r="RLE203" s="605"/>
      <c r="RLF203" s="605"/>
      <c r="RLG203" s="605"/>
      <c r="RLH203" s="605"/>
      <c r="RLI203" s="605"/>
      <c r="RLJ203" s="605"/>
      <c r="RLK203" s="605"/>
      <c r="RLL203" s="605"/>
      <c r="RLM203" s="605"/>
      <c r="RLN203" s="605"/>
      <c r="RLO203" s="605"/>
      <c r="RLP203" s="605"/>
      <c r="RLQ203" s="605"/>
      <c r="RLR203" s="605"/>
      <c r="RLS203" s="605"/>
      <c r="RLT203" s="605"/>
      <c r="RLU203" s="605"/>
      <c r="RLV203" s="605"/>
      <c r="RLW203" s="605"/>
      <c r="RLX203" s="605"/>
      <c r="RLY203" s="605"/>
      <c r="RLZ203" s="605"/>
      <c r="RMA203" s="605"/>
      <c r="RMB203" s="605"/>
      <c r="RMC203" s="605"/>
      <c r="RMD203" s="605"/>
      <c r="RME203" s="605"/>
      <c r="RMF203" s="605"/>
      <c r="RMG203" s="605"/>
      <c r="RMH203" s="605"/>
      <c r="RMI203" s="605"/>
      <c r="RMJ203" s="605"/>
      <c r="RMK203" s="605"/>
      <c r="RML203" s="605"/>
      <c r="RMM203" s="605"/>
      <c r="RMN203" s="605"/>
      <c r="RMO203" s="605"/>
      <c r="RMP203" s="605"/>
      <c r="RMQ203" s="605"/>
      <c r="RMR203" s="605"/>
      <c r="RMS203" s="605"/>
      <c r="RMT203" s="605"/>
      <c r="RMU203" s="605"/>
      <c r="RMV203" s="605"/>
      <c r="RMW203" s="605"/>
      <c r="RMX203" s="605"/>
      <c r="RMY203" s="605"/>
      <c r="RMZ203" s="605"/>
      <c r="RNA203" s="605"/>
      <c r="RNB203" s="605"/>
      <c r="RNC203" s="605"/>
      <c r="RND203" s="605"/>
      <c r="RNE203" s="605"/>
      <c r="RNF203" s="605"/>
      <c r="RNG203" s="605"/>
      <c r="RNH203" s="605"/>
      <c r="RNI203" s="605"/>
      <c r="RNJ203" s="605"/>
      <c r="RNK203" s="605"/>
      <c r="RNL203" s="605"/>
      <c r="RNM203" s="605"/>
      <c r="RNN203" s="605"/>
      <c r="RNO203" s="605"/>
      <c r="RNP203" s="605"/>
      <c r="RNQ203" s="605"/>
      <c r="RNR203" s="605"/>
      <c r="RNS203" s="605"/>
      <c r="RNT203" s="605"/>
      <c r="RNU203" s="605"/>
      <c r="RNV203" s="605"/>
      <c r="RNW203" s="605"/>
      <c r="RNX203" s="605"/>
      <c r="RNY203" s="605"/>
      <c r="RNZ203" s="605"/>
      <c r="ROA203" s="605"/>
      <c r="ROB203" s="605"/>
      <c r="ROC203" s="605"/>
      <c r="ROD203" s="605"/>
      <c r="ROE203" s="605"/>
      <c r="ROF203" s="605"/>
      <c r="ROG203" s="605"/>
      <c r="ROH203" s="605"/>
      <c r="ROI203" s="605"/>
      <c r="ROJ203" s="605"/>
      <c r="ROK203" s="605"/>
      <c r="ROL203" s="605"/>
      <c r="ROM203" s="605"/>
      <c r="RON203" s="605"/>
      <c r="ROO203" s="605"/>
      <c r="ROP203" s="605"/>
      <c r="ROQ203" s="605"/>
      <c r="ROR203" s="605"/>
      <c r="ROS203" s="605"/>
      <c r="ROT203" s="605"/>
      <c r="ROU203" s="605"/>
      <c r="ROV203" s="605"/>
      <c r="ROW203" s="605"/>
      <c r="ROX203" s="605"/>
      <c r="ROY203" s="605"/>
      <c r="ROZ203" s="605"/>
      <c r="RPA203" s="605"/>
      <c r="RPB203" s="605"/>
      <c r="RPC203" s="605"/>
      <c r="RPD203" s="605"/>
      <c r="RPE203" s="605"/>
      <c r="RPF203" s="605"/>
      <c r="RPG203" s="605"/>
      <c r="RPH203" s="605"/>
      <c r="RPI203" s="605"/>
      <c r="RPJ203" s="605"/>
      <c r="RPK203" s="605"/>
      <c r="RPL203" s="605"/>
      <c r="RPM203" s="605"/>
      <c r="RPN203" s="605"/>
      <c r="RPO203" s="605"/>
      <c r="RPP203" s="605"/>
      <c r="RPQ203" s="605"/>
      <c r="RPR203" s="605"/>
      <c r="RPS203" s="605"/>
      <c r="RPT203" s="605"/>
      <c r="RPU203" s="605"/>
      <c r="RPV203" s="605"/>
      <c r="RPW203" s="605"/>
      <c r="RPX203" s="605"/>
      <c r="RPY203" s="605"/>
      <c r="RPZ203" s="605"/>
      <c r="RQA203" s="605"/>
      <c r="RQB203" s="605"/>
      <c r="RQC203" s="605"/>
      <c r="RQD203" s="605"/>
      <c r="RQE203" s="605"/>
      <c r="RQF203" s="605"/>
      <c r="RQG203" s="605"/>
      <c r="RQH203" s="605"/>
      <c r="RQI203" s="605"/>
      <c r="RQJ203" s="605"/>
      <c r="RQK203" s="605"/>
      <c r="RQL203" s="605"/>
      <c r="RQM203" s="605"/>
      <c r="RQN203" s="605"/>
      <c r="RQO203" s="605"/>
      <c r="RQP203" s="605"/>
      <c r="RQQ203" s="605"/>
      <c r="RQR203" s="605"/>
      <c r="RQS203" s="605"/>
      <c r="RQT203" s="605"/>
      <c r="RQU203" s="605"/>
      <c r="RQV203" s="605"/>
      <c r="RQW203" s="605"/>
      <c r="RQX203" s="605"/>
      <c r="RQY203" s="605"/>
      <c r="RQZ203" s="605"/>
      <c r="RRA203" s="605"/>
      <c r="RRB203" s="605"/>
      <c r="RRC203" s="605"/>
      <c r="RRD203" s="605"/>
      <c r="RRE203" s="605"/>
      <c r="RRF203" s="605"/>
      <c r="RRG203" s="605"/>
      <c r="RRH203" s="605"/>
      <c r="RRI203" s="605"/>
      <c r="RRJ203" s="605"/>
      <c r="RRK203" s="605"/>
      <c r="RRL203" s="605"/>
      <c r="RRM203" s="605"/>
      <c r="RRN203" s="605"/>
      <c r="RRO203" s="605"/>
      <c r="RRP203" s="605"/>
      <c r="RRQ203" s="605"/>
      <c r="RRR203" s="605"/>
      <c r="RRS203" s="605"/>
      <c r="RRT203" s="605"/>
      <c r="RRU203" s="605"/>
      <c r="RRV203" s="605"/>
      <c r="RRW203" s="605"/>
      <c r="RRX203" s="605"/>
      <c r="RRY203" s="605"/>
      <c r="RRZ203" s="605"/>
      <c r="RSA203" s="605"/>
      <c r="RSB203" s="605"/>
      <c r="RSC203" s="605"/>
      <c r="RSD203" s="605"/>
      <c r="RSE203" s="605"/>
      <c r="RSF203" s="605"/>
      <c r="RSG203" s="605"/>
      <c r="RSH203" s="605"/>
      <c r="RSI203" s="605"/>
      <c r="RSJ203" s="605"/>
      <c r="RSK203" s="605"/>
      <c r="RSL203" s="605"/>
      <c r="RSM203" s="605"/>
      <c r="RSN203" s="605"/>
      <c r="RSO203" s="605"/>
      <c r="RSP203" s="605"/>
      <c r="RSQ203" s="605"/>
      <c r="RSR203" s="605"/>
      <c r="RSS203" s="605"/>
      <c r="RST203" s="605"/>
      <c r="RSU203" s="605"/>
      <c r="RSV203" s="605"/>
      <c r="RSW203" s="605"/>
      <c r="RSX203" s="605"/>
      <c r="RSY203" s="605"/>
      <c r="RSZ203" s="605"/>
      <c r="RTA203" s="605"/>
      <c r="RTB203" s="605"/>
      <c r="RTC203" s="605"/>
      <c r="RTD203" s="605"/>
      <c r="RTE203" s="605"/>
      <c r="RTF203" s="605"/>
      <c r="RTG203" s="605"/>
      <c r="RTH203" s="605"/>
      <c r="RTI203" s="605"/>
      <c r="RTJ203" s="605"/>
      <c r="RTK203" s="605"/>
      <c r="RTL203" s="605"/>
      <c r="RTM203" s="605"/>
      <c r="RTN203" s="605"/>
      <c r="RTO203" s="605"/>
      <c r="RTP203" s="605"/>
      <c r="RTQ203" s="605"/>
      <c r="RTR203" s="605"/>
      <c r="RTS203" s="605"/>
      <c r="RTT203" s="605"/>
      <c r="RTU203" s="605"/>
      <c r="RTV203" s="605"/>
      <c r="RTW203" s="605"/>
      <c r="RTX203" s="605"/>
      <c r="RTY203" s="605"/>
      <c r="RTZ203" s="605"/>
      <c r="RUA203" s="605"/>
      <c r="RUB203" s="605"/>
      <c r="RUC203" s="605"/>
      <c r="RUD203" s="605"/>
      <c r="RUE203" s="605"/>
      <c r="RUF203" s="605"/>
      <c r="RUG203" s="605"/>
      <c r="RUH203" s="605"/>
      <c r="RUI203" s="605"/>
      <c r="RUJ203" s="605"/>
      <c r="RUK203" s="605"/>
      <c r="RUL203" s="605"/>
      <c r="RUM203" s="605"/>
      <c r="RUN203" s="605"/>
      <c r="RUO203" s="605"/>
      <c r="RUP203" s="605"/>
      <c r="RUQ203" s="605"/>
      <c r="RUR203" s="605"/>
      <c r="RUS203" s="605"/>
      <c r="RUT203" s="605"/>
      <c r="RUU203" s="605"/>
      <c r="RUV203" s="605"/>
      <c r="RUW203" s="605"/>
      <c r="RUX203" s="605"/>
      <c r="RUY203" s="605"/>
      <c r="RUZ203" s="605"/>
      <c r="RVA203" s="605"/>
      <c r="RVB203" s="605"/>
      <c r="RVC203" s="605"/>
      <c r="RVD203" s="605"/>
      <c r="RVE203" s="605"/>
      <c r="RVF203" s="605"/>
      <c r="RVG203" s="605"/>
      <c r="RVH203" s="605"/>
      <c r="RVI203" s="605"/>
      <c r="RVJ203" s="605"/>
      <c r="RVK203" s="605"/>
      <c r="RVL203" s="605"/>
      <c r="RVM203" s="605"/>
      <c r="RVN203" s="605"/>
      <c r="RVO203" s="605"/>
      <c r="RVP203" s="605"/>
      <c r="RVQ203" s="605"/>
      <c r="RVR203" s="605"/>
      <c r="RVS203" s="605"/>
      <c r="RVT203" s="605"/>
      <c r="RVU203" s="605"/>
      <c r="RVV203" s="605"/>
      <c r="RVW203" s="605"/>
      <c r="RVX203" s="605"/>
      <c r="RVY203" s="605"/>
      <c r="RVZ203" s="605"/>
      <c r="RWA203" s="605"/>
      <c r="RWB203" s="605"/>
      <c r="RWC203" s="605"/>
      <c r="RWD203" s="605"/>
      <c r="RWE203" s="605"/>
      <c r="RWF203" s="605"/>
      <c r="RWG203" s="605"/>
      <c r="RWH203" s="605"/>
      <c r="RWI203" s="605"/>
      <c r="RWJ203" s="605"/>
      <c r="RWK203" s="605"/>
      <c r="RWL203" s="605"/>
      <c r="RWM203" s="605"/>
      <c r="RWN203" s="605"/>
      <c r="RWO203" s="605"/>
      <c r="RWP203" s="605"/>
      <c r="RWQ203" s="605"/>
      <c r="RWR203" s="605"/>
      <c r="RWS203" s="605"/>
      <c r="RWT203" s="605"/>
      <c r="RWU203" s="605"/>
      <c r="RWV203" s="605"/>
      <c r="RWW203" s="605"/>
      <c r="RWX203" s="605"/>
      <c r="RWY203" s="605"/>
      <c r="RWZ203" s="605"/>
      <c r="RXA203" s="605"/>
      <c r="RXB203" s="605"/>
      <c r="RXC203" s="605"/>
      <c r="RXD203" s="605"/>
      <c r="RXE203" s="605"/>
      <c r="RXF203" s="605"/>
      <c r="RXG203" s="605"/>
      <c r="RXH203" s="605"/>
      <c r="RXI203" s="605"/>
      <c r="RXJ203" s="605"/>
      <c r="RXK203" s="605"/>
      <c r="RXL203" s="605"/>
      <c r="RXM203" s="605"/>
      <c r="RXN203" s="605"/>
      <c r="RXO203" s="605"/>
      <c r="RXP203" s="605"/>
      <c r="RXQ203" s="605"/>
      <c r="RXR203" s="605"/>
      <c r="RXS203" s="605"/>
      <c r="RXT203" s="605"/>
      <c r="RXU203" s="605"/>
      <c r="RXV203" s="605"/>
      <c r="RXW203" s="605"/>
      <c r="RXX203" s="605"/>
      <c r="RXY203" s="605"/>
      <c r="RXZ203" s="605"/>
      <c r="RYA203" s="605"/>
      <c r="RYB203" s="605"/>
      <c r="RYC203" s="605"/>
      <c r="RYD203" s="605"/>
      <c r="RYE203" s="605"/>
      <c r="RYF203" s="605"/>
      <c r="RYG203" s="605"/>
      <c r="RYH203" s="605"/>
      <c r="RYI203" s="605"/>
      <c r="RYJ203" s="605"/>
      <c r="RYK203" s="605"/>
      <c r="RYL203" s="605"/>
      <c r="RYM203" s="605"/>
      <c r="RYN203" s="605"/>
      <c r="RYO203" s="605"/>
      <c r="RYP203" s="605"/>
      <c r="RYQ203" s="605"/>
      <c r="RYR203" s="605"/>
      <c r="RYS203" s="605"/>
      <c r="RYT203" s="605"/>
      <c r="RYU203" s="605"/>
      <c r="RYV203" s="605"/>
      <c r="RYW203" s="605"/>
      <c r="RYX203" s="605"/>
      <c r="RYY203" s="605"/>
      <c r="RYZ203" s="605"/>
      <c r="RZA203" s="605"/>
      <c r="RZB203" s="605"/>
      <c r="RZC203" s="605"/>
      <c r="RZD203" s="605"/>
      <c r="RZE203" s="605"/>
      <c r="RZF203" s="605"/>
      <c r="RZG203" s="605"/>
      <c r="RZH203" s="605"/>
      <c r="RZI203" s="605"/>
      <c r="RZJ203" s="605"/>
      <c r="RZK203" s="605"/>
      <c r="RZL203" s="605"/>
      <c r="RZM203" s="605"/>
      <c r="RZN203" s="605"/>
      <c r="RZO203" s="605"/>
      <c r="RZP203" s="605"/>
      <c r="RZQ203" s="605"/>
      <c r="RZR203" s="605"/>
      <c r="RZS203" s="605"/>
      <c r="RZT203" s="605"/>
      <c r="RZU203" s="605"/>
      <c r="RZV203" s="605"/>
      <c r="RZW203" s="605"/>
      <c r="RZX203" s="605"/>
      <c r="RZY203" s="605"/>
      <c r="RZZ203" s="605"/>
      <c r="SAA203" s="605"/>
      <c r="SAB203" s="605"/>
      <c r="SAC203" s="605"/>
      <c r="SAD203" s="605"/>
      <c r="SAE203" s="605"/>
      <c r="SAF203" s="605"/>
      <c r="SAG203" s="605"/>
      <c r="SAH203" s="605"/>
      <c r="SAI203" s="605"/>
      <c r="SAJ203" s="605"/>
      <c r="SAK203" s="605"/>
      <c r="SAL203" s="605"/>
      <c r="SAM203" s="605"/>
      <c r="SAN203" s="605"/>
      <c r="SAO203" s="605"/>
      <c r="SAP203" s="605"/>
      <c r="SAQ203" s="605"/>
      <c r="SAR203" s="605"/>
      <c r="SAS203" s="605"/>
      <c r="SAT203" s="605"/>
      <c r="SAU203" s="605"/>
      <c r="SAV203" s="605"/>
      <c r="SAW203" s="605"/>
      <c r="SAX203" s="605"/>
      <c r="SAY203" s="605"/>
      <c r="SAZ203" s="605"/>
      <c r="SBA203" s="605"/>
      <c r="SBB203" s="605"/>
      <c r="SBC203" s="605"/>
      <c r="SBD203" s="605"/>
      <c r="SBE203" s="605"/>
      <c r="SBF203" s="605"/>
      <c r="SBG203" s="605"/>
      <c r="SBH203" s="605"/>
      <c r="SBI203" s="605"/>
      <c r="SBJ203" s="605"/>
      <c r="SBK203" s="605"/>
      <c r="SBL203" s="605"/>
      <c r="SBM203" s="605"/>
      <c r="SBN203" s="605"/>
      <c r="SBO203" s="605"/>
      <c r="SBP203" s="605"/>
      <c r="SBQ203" s="605"/>
      <c r="SBR203" s="605"/>
      <c r="SBS203" s="605"/>
      <c r="SBT203" s="605"/>
      <c r="SBU203" s="605"/>
      <c r="SBV203" s="605"/>
      <c r="SBW203" s="605"/>
      <c r="SBX203" s="605"/>
      <c r="SBY203" s="605"/>
      <c r="SBZ203" s="605"/>
      <c r="SCA203" s="605"/>
      <c r="SCB203" s="605"/>
      <c r="SCC203" s="605"/>
      <c r="SCD203" s="605"/>
      <c r="SCE203" s="605"/>
      <c r="SCF203" s="605"/>
      <c r="SCG203" s="605"/>
      <c r="SCH203" s="605"/>
      <c r="SCI203" s="605"/>
      <c r="SCJ203" s="605"/>
      <c r="SCK203" s="605"/>
      <c r="SCL203" s="605"/>
      <c r="SCM203" s="605"/>
      <c r="SCN203" s="605"/>
      <c r="SCO203" s="605"/>
      <c r="SCP203" s="605"/>
      <c r="SCQ203" s="605"/>
      <c r="SCR203" s="605"/>
      <c r="SCS203" s="605"/>
      <c r="SCT203" s="605"/>
      <c r="SCU203" s="605"/>
      <c r="SCV203" s="605"/>
      <c r="SCW203" s="605"/>
      <c r="SCX203" s="605"/>
      <c r="SCY203" s="605"/>
      <c r="SCZ203" s="605"/>
      <c r="SDA203" s="605"/>
      <c r="SDB203" s="605"/>
      <c r="SDC203" s="605"/>
      <c r="SDD203" s="605"/>
      <c r="SDE203" s="605"/>
      <c r="SDF203" s="605"/>
      <c r="SDG203" s="605"/>
      <c r="SDH203" s="605"/>
      <c r="SDI203" s="605"/>
      <c r="SDJ203" s="605"/>
      <c r="SDK203" s="605"/>
      <c r="SDL203" s="605"/>
      <c r="SDM203" s="605"/>
      <c r="SDN203" s="605"/>
      <c r="SDO203" s="605"/>
      <c r="SDP203" s="605"/>
      <c r="SDQ203" s="605"/>
      <c r="SDR203" s="605"/>
      <c r="SDS203" s="605"/>
      <c r="SDT203" s="605"/>
      <c r="SDU203" s="605"/>
      <c r="SDV203" s="605"/>
      <c r="SDW203" s="605"/>
      <c r="SDX203" s="605"/>
      <c r="SDY203" s="605"/>
      <c r="SDZ203" s="605"/>
      <c r="SEA203" s="605"/>
      <c r="SEB203" s="605"/>
      <c r="SEC203" s="605"/>
      <c r="SED203" s="605"/>
      <c r="SEE203" s="605"/>
      <c r="SEF203" s="605"/>
      <c r="SEG203" s="605"/>
      <c r="SEH203" s="605"/>
      <c r="SEI203" s="605"/>
      <c r="SEJ203" s="605"/>
      <c r="SEK203" s="605"/>
      <c r="SEL203" s="605"/>
      <c r="SEM203" s="605"/>
      <c r="SEN203" s="605"/>
      <c r="SEO203" s="605"/>
      <c r="SEP203" s="605"/>
      <c r="SEQ203" s="605"/>
      <c r="SER203" s="605"/>
      <c r="SES203" s="605"/>
      <c r="SET203" s="605"/>
      <c r="SEU203" s="605"/>
      <c r="SEV203" s="605"/>
      <c r="SEW203" s="605"/>
      <c r="SEX203" s="605"/>
      <c r="SEY203" s="605"/>
      <c r="SEZ203" s="605"/>
      <c r="SFA203" s="605"/>
      <c r="SFB203" s="605"/>
      <c r="SFC203" s="605"/>
      <c r="SFD203" s="605"/>
      <c r="SFE203" s="605"/>
      <c r="SFF203" s="605"/>
      <c r="SFG203" s="605"/>
      <c r="SFH203" s="605"/>
      <c r="SFI203" s="605"/>
      <c r="SFJ203" s="605"/>
      <c r="SFK203" s="605"/>
      <c r="SFL203" s="605"/>
      <c r="SFM203" s="605"/>
      <c r="SFN203" s="605"/>
      <c r="SFO203" s="605"/>
      <c r="SFP203" s="605"/>
      <c r="SFQ203" s="605"/>
      <c r="SFR203" s="605"/>
      <c r="SFS203" s="605"/>
      <c r="SFT203" s="605"/>
      <c r="SFU203" s="605"/>
      <c r="SFV203" s="605"/>
      <c r="SFW203" s="605"/>
      <c r="SFX203" s="605"/>
      <c r="SFY203" s="605"/>
      <c r="SFZ203" s="605"/>
      <c r="SGA203" s="605"/>
      <c r="SGB203" s="605"/>
      <c r="SGC203" s="605"/>
      <c r="SGD203" s="605"/>
      <c r="SGE203" s="605"/>
      <c r="SGF203" s="605"/>
      <c r="SGG203" s="605"/>
      <c r="SGH203" s="605"/>
      <c r="SGI203" s="605"/>
      <c r="SGJ203" s="605"/>
      <c r="SGK203" s="605"/>
      <c r="SGL203" s="605"/>
      <c r="SGM203" s="605"/>
      <c r="SGN203" s="605"/>
      <c r="SGO203" s="605"/>
      <c r="SGP203" s="605"/>
      <c r="SGQ203" s="605"/>
      <c r="SGR203" s="605"/>
      <c r="SGS203" s="605"/>
      <c r="SGT203" s="605"/>
      <c r="SGU203" s="605"/>
      <c r="SGV203" s="605"/>
      <c r="SGW203" s="605"/>
      <c r="SGX203" s="605"/>
      <c r="SGY203" s="605"/>
      <c r="SGZ203" s="605"/>
      <c r="SHA203" s="605"/>
      <c r="SHB203" s="605"/>
      <c r="SHC203" s="605"/>
      <c r="SHD203" s="605"/>
      <c r="SHE203" s="605"/>
      <c r="SHF203" s="605"/>
      <c r="SHG203" s="605"/>
      <c r="SHH203" s="605"/>
      <c r="SHI203" s="605"/>
      <c r="SHJ203" s="605"/>
      <c r="SHK203" s="605"/>
      <c r="SHL203" s="605"/>
      <c r="SHM203" s="605"/>
      <c r="SHN203" s="605"/>
      <c r="SHO203" s="605"/>
      <c r="SHP203" s="605"/>
      <c r="SHQ203" s="605"/>
      <c r="SHR203" s="605"/>
      <c r="SHS203" s="605"/>
      <c r="SHT203" s="605"/>
      <c r="SHU203" s="605"/>
      <c r="SHV203" s="605"/>
      <c r="SHW203" s="605"/>
      <c r="SHX203" s="605"/>
      <c r="SHY203" s="605"/>
      <c r="SHZ203" s="605"/>
      <c r="SIA203" s="605"/>
      <c r="SIB203" s="605"/>
      <c r="SIC203" s="605"/>
      <c r="SID203" s="605"/>
      <c r="SIE203" s="605"/>
      <c r="SIF203" s="605"/>
      <c r="SIG203" s="605"/>
      <c r="SIH203" s="605"/>
      <c r="SII203" s="605"/>
      <c r="SIJ203" s="605"/>
      <c r="SIK203" s="605"/>
      <c r="SIL203" s="605"/>
      <c r="SIM203" s="605"/>
      <c r="SIN203" s="605"/>
      <c r="SIO203" s="605"/>
      <c r="SIP203" s="605"/>
      <c r="SIQ203" s="605"/>
      <c r="SIR203" s="605"/>
      <c r="SIS203" s="605"/>
      <c r="SIT203" s="605"/>
      <c r="SIU203" s="605"/>
      <c r="SIV203" s="605"/>
      <c r="SIW203" s="605"/>
      <c r="SIX203" s="605"/>
      <c r="SIY203" s="605"/>
      <c r="SIZ203" s="605"/>
      <c r="SJA203" s="605"/>
      <c r="SJB203" s="605"/>
      <c r="SJC203" s="605"/>
      <c r="SJD203" s="605"/>
      <c r="SJE203" s="605"/>
      <c r="SJF203" s="605"/>
      <c r="SJG203" s="605"/>
      <c r="SJH203" s="605"/>
      <c r="SJI203" s="605"/>
      <c r="SJJ203" s="605"/>
      <c r="SJK203" s="605"/>
      <c r="SJL203" s="605"/>
      <c r="SJM203" s="605"/>
      <c r="SJN203" s="605"/>
      <c r="SJO203" s="605"/>
      <c r="SJP203" s="605"/>
      <c r="SJQ203" s="605"/>
      <c r="SJR203" s="605"/>
      <c r="SJS203" s="605"/>
      <c r="SJT203" s="605"/>
      <c r="SJU203" s="605"/>
      <c r="SJV203" s="605"/>
      <c r="SJW203" s="605"/>
      <c r="SJX203" s="605"/>
      <c r="SJY203" s="605"/>
      <c r="SJZ203" s="605"/>
      <c r="SKA203" s="605"/>
      <c r="SKB203" s="605"/>
      <c r="SKC203" s="605"/>
      <c r="SKD203" s="605"/>
      <c r="SKE203" s="605"/>
      <c r="SKF203" s="605"/>
      <c r="SKG203" s="605"/>
      <c r="SKH203" s="605"/>
      <c r="SKI203" s="605"/>
      <c r="SKJ203" s="605"/>
      <c r="SKK203" s="605"/>
      <c r="SKL203" s="605"/>
      <c r="SKM203" s="605"/>
      <c r="SKN203" s="605"/>
      <c r="SKO203" s="605"/>
      <c r="SKP203" s="605"/>
      <c r="SKQ203" s="605"/>
      <c r="SKR203" s="605"/>
      <c r="SKS203" s="605"/>
      <c r="SKT203" s="605"/>
      <c r="SKU203" s="605"/>
      <c r="SKV203" s="605"/>
      <c r="SKW203" s="605"/>
      <c r="SKX203" s="605"/>
      <c r="SKY203" s="605"/>
      <c r="SKZ203" s="605"/>
      <c r="SLA203" s="605"/>
      <c r="SLB203" s="605"/>
      <c r="SLC203" s="605"/>
      <c r="SLD203" s="605"/>
      <c r="SLE203" s="605"/>
      <c r="SLF203" s="605"/>
      <c r="SLG203" s="605"/>
      <c r="SLH203" s="605"/>
      <c r="SLI203" s="605"/>
      <c r="SLJ203" s="605"/>
      <c r="SLK203" s="605"/>
      <c r="SLL203" s="605"/>
      <c r="SLM203" s="605"/>
      <c r="SLN203" s="605"/>
      <c r="SLO203" s="605"/>
      <c r="SLP203" s="605"/>
      <c r="SLQ203" s="605"/>
      <c r="SLR203" s="605"/>
      <c r="SLS203" s="605"/>
      <c r="SLT203" s="605"/>
      <c r="SLU203" s="605"/>
      <c r="SLV203" s="605"/>
      <c r="SLW203" s="605"/>
      <c r="SLX203" s="605"/>
      <c r="SLY203" s="605"/>
      <c r="SLZ203" s="605"/>
      <c r="SMA203" s="605"/>
      <c r="SMB203" s="605"/>
      <c r="SMC203" s="605"/>
      <c r="SMD203" s="605"/>
      <c r="SME203" s="605"/>
      <c r="SMF203" s="605"/>
      <c r="SMG203" s="605"/>
      <c r="SMH203" s="605"/>
      <c r="SMI203" s="605"/>
      <c r="SMJ203" s="605"/>
      <c r="SMK203" s="605"/>
      <c r="SML203" s="605"/>
      <c r="SMM203" s="605"/>
      <c r="SMN203" s="605"/>
      <c r="SMO203" s="605"/>
      <c r="SMP203" s="605"/>
      <c r="SMQ203" s="605"/>
      <c r="SMR203" s="605"/>
      <c r="SMS203" s="605"/>
      <c r="SMT203" s="605"/>
      <c r="SMU203" s="605"/>
      <c r="SMV203" s="605"/>
      <c r="SMW203" s="605"/>
      <c r="SMX203" s="605"/>
      <c r="SMY203" s="605"/>
      <c r="SMZ203" s="605"/>
      <c r="SNA203" s="605"/>
      <c r="SNB203" s="605"/>
      <c r="SNC203" s="605"/>
      <c r="SND203" s="605"/>
      <c r="SNE203" s="605"/>
      <c r="SNF203" s="605"/>
      <c r="SNG203" s="605"/>
      <c r="SNH203" s="605"/>
      <c r="SNI203" s="605"/>
      <c r="SNJ203" s="605"/>
      <c r="SNK203" s="605"/>
      <c r="SNL203" s="605"/>
      <c r="SNM203" s="605"/>
      <c r="SNN203" s="605"/>
      <c r="SNO203" s="605"/>
      <c r="SNP203" s="605"/>
      <c r="SNQ203" s="605"/>
      <c r="SNR203" s="605"/>
      <c r="SNS203" s="605"/>
      <c r="SNT203" s="605"/>
      <c r="SNU203" s="605"/>
      <c r="SNV203" s="605"/>
      <c r="SNW203" s="605"/>
      <c r="SNX203" s="605"/>
      <c r="SNY203" s="605"/>
      <c r="SNZ203" s="605"/>
      <c r="SOA203" s="605"/>
      <c r="SOB203" s="605"/>
      <c r="SOC203" s="605"/>
      <c r="SOD203" s="605"/>
      <c r="SOE203" s="605"/>
      <c r="SOF203" s="605"/>
      <c r="SOG203" s="605"/>
      <c r="SOH203" s="605"/>
      <c r="SOI203" s="605"/>
      <c r="SOJ203" s="605"/>
      <c r="SOK203" s="605"/>
      <c r="SOL203" s="605"/>
      <c r="SOM203" s="605"/>
      <c r="SON203" s="605"/>
      <c r="SOO203" s="605"/>
      <c r="SOP203" s="605"/>
      <c r="SOQ203" s="605"/>
      <c r="SOR203" s="605"/>
      <c r="SOS203" s="605"/>
      <c r="SOT203" s="605"/>
      <c r="SOU203" s="605"/>
      <c r="SOV203" s="605"/>
      <c r="SOW203" s="605"/>
      <c r="SOX203" s="605"/>
      <c r="SOY203" s="605"/>
      <c r="SOZ203" s="605"/>
      <c r="SPA203" s="605"/>
      <c r="SPB203" s="605"/>
      <c r="SPC203" s="605"/>
      <c r="SPD203" s="605"/>
      <c r="SPE203" s="605"/>
      <c r="SPF203" s="605"/>
      <c r="SPG203" s="605"/>
      <c r="SPH203" s="605"/>
      <c r="SPI203" s="605"/>
      <c r="SPJ203" s="605"/>
      <c r="SPK203" s="605"/>
      <c r="SPL203" s="605"/>
      <c r="SPM203" s="605"/>
      <c r="SPN203" s="605"/>
      <c r="SPO203" s="605"/>
      <c r="SPP203" s="605"/>
      <c r="SPQ203" s="605"/>
      <c r="SPR203" s="605"/>
      <c r="SPS203" s="605"/>
      <c r="SPT203" s="605"/>
      <c r="SPU203" s="605"/>
      <c r="SPV203" s="605"/>
      <c r="SPW203" s="605"/>
      <c r="SPX203" s="605"/>
      <c r="SPY203" s="605"/>
      <c r="SPZ203" s="605"/>
      <c r="SQA203" s="605"/>
      <c r="SQB203" s="605"/>
      <c r="SQC203" s="605"/>
      <c r="SQD203" s="605"/>
      <c r="SQE203" s="605"/>
      <c r="SQF203" s="605"/>
      <c r="SQG203" s="605"/>
      <c r="SQH203" s="605"/>
      <c r="SQI203" s="605"/>
      <c r="SQJ203" s="605"/>
      <c r="SQK203" s="605"/>
      <c r="SQL203" s="605"/>
      <c r="SQM203" s="605"/>
      <c r="SQN203" s="605"/>
      <c r="SQO203" s="605"/>
      <c r="SQP203" s="605"/>
      <c r="SQQ203" s="605"/>
      <c r="SQR203" s="605"/>
      <c r="SQS203" s="605"/>
      <c r="SQT203" s="605"/>
      <c r="SQU203" s="605"/>
      <c r="SQV203" s="605"/>
      <c r="SQW203" s="605"/>
      <c r="SQX203" s="605"/>
      <c r="SQY203" s="605"/>
      <c r="SQZ203" s="605"/>
      <c r="SRA203" s="605"/>
      <c r="SRB203" s="605"/>
      <c r="SRC203" s="605"/>
      <c r="SRD203" s="605"/>
      <c r="SRE203" s="605"/>
      <c r="SRF203" s="605"/>
      <c r="SRG203" s="605"/>
      <c r="SRH203" s="605"/>
      <c r="SRI203" s="605"/>
      <c r="SRJ203" s="605"/>
      <c r="SRK203" s="605"/>
      <c r="SRL203" s="605"/>
      <c r="SRM203" s="605"/>
      <c r="SRN203" s="605"/>
      <c r="SRO203" s="605"/>
      <c r="SRP203" s="605"/>
      <c r="SRQ203" s="605"/>
      <c r="SRR203" s="605"/>
      <c r="SRS203" s="605"/>
      <c r="SRT203" s="605"/>
      <c r="SRU203" s="605"/>
      <c r="SRV203" s="605"/>
      <c r="SRW203" s="605"/>
      <c r="SRX203" s="605"/>
      <c r="SRY203" s="605"/>
      <c r="SRZ203" s="605"/>
      <c r="SSA203" s="605"/>
      <c r="SSB203" s="605"/>
      <c r="SSC203" s="605"/>
      <c r="SSD203" s="605"/>
      <c r="SSE203" s="605"/>
      <c r="SSF203" s="605"/>
      <c r="SSG203" s="605"/>
      <c r="SSH203" s="605"/>
      <c r="SSI203" s="605"/>
      <c r="SSJ203" s="605"/>
      <c r="SSK203" s="605"/>
      <c r="SSL203" s="605"/>
      <c r="SSM203" s="605"/>
      <c r="SSN203" s="605"/>
      <c r="SSO203" s="605"/>
      <c r="SSP203" s="605"/>
      <c r="SSQ203" s="605"/>
      <c r="SSR203" s="605"/>
      <c r="SSS203" s="605"/>
      <c r="SST203" s="605"/>
      <c r="SSU203" s="605"/>
      <c r="SSV203" s="605"/>
      <c r="SSW203" s="605"/>
      <c r="SSX203" s="605"/>
      <c r="SSY203" s="605"/>
      <c r="SSZ203" s="605"/>
      <c r="STA203" s="605"/>
      <c r="STB203" s="605"/>
      <c r="STC203" s="605"/>
      <c r="STD203" s="605"/>
      <c r="STE203" s="605"/>
      <c r="STF203" s="605"/>
      <c r="STG203" s="605"/>
      <c r="STH203" s="605"/>
      <c r="STI203" s="605"/>
      <c r="STJ203" s="605"/>
      <c r="STK203" s="605"/>
      <c r="STL203" s="605"/>
      <c r="STM203" s="605"/>
      <c r="STN203" s="605"/>
      <c r="STO203" s="605"/>
      <c r="STP203" s="605"/>
      <c r="STQ203" s="605"/>
      <c r="STR203" s="605"/>
      <c r="STS203" s="605"/>
      <c r="STT203" s="605"/>
      <c r="STU203" s="605"/>
      <c r="STV203" s="605"/>
      <c r="STW203" s="605"/>
      <c r="STX203" s="605"/>
      <c r="STY203" s="605"/>
      <c r="STZ203" s="605"/>
      <c r="SUA203" s="605"/>
      <c r="SUB203" s="605"/>
      <c r="SUC203" s="605"/>
      <c r="SUD203" s="605"/>
      <c r="SUE203" s="605"/>
      <c r="SUF203" s="605"/>
      <c r="SUG203" s="605"/>
      <c r="SUH203" s="605"/>
      <c r="SUI203" s="605"/>
      <c r="SUJ203" s="605"/>
      <c r="SUK203" s="605"/>
      <c r="SUL203" s="605"/>
      <c r="SUM203" s="605"/>
      <c r="SUN203" s="605"/>
      <c r="SUO203" s="605"/>
      <c r="SUP203" s="605"/>
      <c r="SUQ203" s="605"/>
      <c r="SUR203" s="605"/>
      <c r="SUS203" s="605"/>
      <c r="SUT203" s="605"/>
      <c r="SUU203" s="605"/>
      <c r="SUV203" s="605"/>
      <c r="SUW203" s="605"/>
      <c r="SUX203" s="605"/>
      <c r="SUY203" s="605"/>
      <c r="SUZ203" s="605"/>
      <c r="SVA203" s="605"/>
      <c r="SVB203" s="605"/>
      <c r="SVC203" s="605"/>
      <c r="SVD203" s="605"/>
      <c r="SVE203" s="605"/>
      <c r="SVF203" s="605"/>
      <c r="SVG203" s="605"/>
      <c r="SVH203" s="605"/>
      <c r="SVI203" s="605"/>
      <c r="SVJ203" s="605"/>
      <c r="SVK203" s="605"/>
      <c r="SVL203" s="605"/>
      <c r="SVM203" s="605"/>
      <c r="SVN203" s="605"/>
      <c r="SVO203" s="605"/>
      <c r="SVP203" s="605"/>
      <c r="SVQ203" s="605"/>
      <c r="SVR203" s="605"/>
      <c r="SVS203" s="605"/>
      <c r="SVT203" s="605"/>
      <c r="SVU203" s="605"/>
      <c r="SVV203" s="605"/>
      <c r="SVW203" s="605"/>
      <c r="SVX203" s="605"/>
      <c r="SVY203" s="605"/>
      <c r="SVZ203" s="605"/>
      <c r="SWA203" s="605"/>
      <c r="SWB203" s="605"/>
      <c r="SWC203" s="605"/>
      <c r="SWD203" s="605"/>
      <c r="SWE203" s="605"/>
      <c r="SWF203" s="605"/>
      <c r="SWG203" s="605"/>
      <c r="SWH203" s="605"/>
      <c r="SWI203" s="605"/>
      <c r="SWJ203" s="605"/>
      <c r="SWK203" s="605"/>
      <c r="SWL203" s="605"/>
      <c r="SWM203" s="605"/>
      <c r="SWN203" s="605"/>
      <c r="SWO203" s="605"/>
      <c r="SWP203" s="605"/>
      <c r="SWQ203" s="605"/>
      <c r="SWR203" s="605"/>
      <c r="SWS203" s="605"/>
      <c r="SWT203" s="605"/>
      <c r="SWU203" s="605"/>
      <c r="SWV203" s="605"/>
      <c r="SWW203" s="605"/>
      <c r="SWX203" s="605"/>
      <c r="SWY203" s="605"/>
      <c r="SWZ203" s="605"/>
      <c r="SXA203" s="605"/>
      <c r="SXB203" s="605"/>
      <c r="SXC203" s="605"/>
      <c r="SXD203" s="605"/>
      <c r="SXE203" s="605"/>
      <c r="SXF203" s="605"/>
      <c r="SXG203" s="605"/>
      <c r="SXH203" s="605"/>
      <c r="SXI203" s="605"/>
      <c r="SXJ203" s="605"/>
      <c r="SXK203" s="605"/>
      <c r="SXL203" s="605"/>
      <c r="SXM203" s="605"/>
      <c r="SXN203" s="605"/>
      <c r="SXO203" s="605"/>
      <c r="SXP203" s="605"/>
      <c r="SXQ203" s="605"/>
      <c r="SXR203" s="605"/>
      <c r="SXS203" s="605"/>
      <c r="SXT203" s="605"/>
      <c r="SXU203" s="605"/>
      <c r="SXV203" s="605"/>
      <c r="SXW203" s="605"/>
      <c r="SXX203" s="605"/>
      <c r="SXY203" s="605"/>
      <c r="SXZ203" s="605"/>
      <c r="SYA203" s="605"/>
      <c r="SYB203" s="605"/>
      <c r="SYC203" s="605"/>
      <c r="SYD203" s="605"/>
      <c r="SYE203" s="605"/>
      <c r="SYF203" s="605"/>
      <c r="SYG203" s="605"/>
      <c r="SYH203" s="605"/>
      <c r="SYI203" s="605"/>
      <c r="SYJ203" s="605"/>
      <c r="SYK203" s="605"/>
      <c r="SYL203" s="605"/>
      <c r="SYM203" s="605"/>
      <c r="SYN203" s="605"/>
      <c r="SYO203" s="605"/>
      <c r="SYP203" s="605"/>
      <c r="SYQ203" s="605"/>
      <c r="SYR203" s="605"/>
      <c r="SYS203" s="605"/>
      <c r="SYT203" s="605"/>
      <c r="SYU203" s="605"/>
      <c r="SYV203" s="605"/>
      <c r="SYW203" s="605"/>
      <c r="SYX203" s="605"/>
      <c r="SYY203" s="605"/>
      <c r="SYZ203" s="605"/>
      <c r="SZA203" s="605"/>
      <c r="SZB203" s="605"/>
      <c r="SZC203" s="605"/>
      <c r="SZD203" s="605"/>
      <c r="SZE203" s="605"/>
      <c r="SZF203" s="605"/>
      <c r="SZG203" s="605"/>
      <c r="SZH203" s="605"/>
      <c r="SZI203" s="605"/>
      <c r="SZJ203" s="605"/>
      <c r="SZK203" s="605"/>
      <c r="SZL203" s="605"/>
      <c r="SZM203" s="605"/>
      <c r="SZN203" s="605"/>
      <c r="SZO203" s="605"/>
      <c r="SZP203" s="605"/>
      <c r="SZQ203" s="605"/>
      <c r="SZR203" s="605"/>
      <c r="SZS203" s="605"/>
      <c r="SZT203" s="605"/>
      <c r="SZU203" s="605"/>
      <c r="SZV203" s="605"/>
      <c r="SZW203" s="605"/>
      <c r="SZX203" s="605"/>
      <c r="SZY203" s="605"/>
      <c r="SZZ203" s="605"/>
      <c r="TAA203" s="605"/>
      <c r="TAB203" s="605"/>
      <c r="TAC203" s="605"/>
      <c r="TAD203" s="605"/>
      <c r="TAE203" s="605"/>
      <c r="TAF203" s="605"/>
      <c r="TAG203" s="605"/>
      <c r="TAH203" s="605"/>
      <c r="TAI203" s="605"/>
      <c r="TAJ203" s="605"/>
      <c r="TAK203" s="605"/>
      <c r="TAL203" s="605"/>
      <c r="TAM203" s="605"/>
      <c r="TAN203" s="605"/>
      <c r="TAO203" s="605"/>
      <c r="TAP203" s="605"/>
      <c r="TAQ203" s="605"/>
      <c r="TAR203" s="605"/>
      <c r="TAS203" s="605"/>
      <c r="TAT203" s="605"/>
      <c r="TAU203" s="605"/>
      <c r="TAV203" s="605"/>
      <c r="TAW203" s="605"/>
      <c r="TAX203" s="605"/>
      <c r="TAY203" s="605"/>
      <c r="TAZ203" s="605"/>
      <c r="TBA203" s="605"/>
      <c r="TBB203" s="605"/>
      <c r="TBC203" s="605"/>
      <c r="TBD203" s="605"/>
      <c r="TBE203" s="605"/>
      <c r="TBF203" s="605"/>
      <c r="TBG203" s="605"/>
      <c r="TBH203" s="605"/>
      <c r="TBI203" s="605"/>
      <c r="TBJ203" s="605"/>
      <c r="TBK203" s="605"/>
      <c r="TBL203" s="605"/>
      <c r="TBM203" s="605"/>
      <c r="TBN203" s="605"/>
      <c r="TBO203" s="605"/>
      <c r="TBP203" s="605"/>
      <c r="TBQ203" s="605"/>
      <c r="TBR203" s="605"/>
      <c r="TBS203" s="605"/>
      <c r="TBT203" s="605"/>
      <c r="TBU203" s="605"/>
      <c r="TBV203" s="605"/>
      <c r="TBW203" s="605"/>
      <c r="TBX203" s="605"/>
      <c r="TBY203" s="605"/>
      <c r="TBZ203" s="605"/>
      <c r="TCA203" s="605"/>
      <c r="TCB203" s="605"/>
      <c r="TCC203" s="605"/>
      <c r="TCD203" s="605"/>
      <c r="TCE203" s="605"/>
      <c r="TCF203" s="605"/>
      <c r="TCG203" s="605"/>
      <c r="TCH203" s="605"/>
      <c r="TCI203" s="605"/>
      <c r="TCJ203" s="605"/>
      <c r="TCK203" s="605"/>
      <c r="TCL203" s="605"/>
      <c r="TCM203" s="605"/>
      <c r="TCN203" s="605"/>
      <c r="TCO203" s="605"/>
      <c r="TCP203" s="605"/>
      <c r="TCQ203" s="605"/>
      <c r="TCR203" s="605"/>
      <c r="TCS203" s="605"/>
      <c r="TCT203" s="605"/>
      <c r="TCU203" s="605"/>
      <c r="TCV203" s="605"/>
      <c r="TCW203" s="605"/>
      <c r="TCX203" s="605"/>
      <c r="TCY203" s="605"/>
      <c r="TCZ203" s="605"/>
      <c r="TDA203" s="605"/>
      <c r="TDB203" s="605"/>
      <c r="TDC203" s="605"/>
      <c r="TDD203" s="605"/>
      <c r="TDE203" s="605"/>
      <c r="TDF203" s="605"/>
      <c r="TDG203" s="605"/>
      <c r="TDH203" s="605"/>
      <c r="TDI203" s="605"/>
      <c r="TDJ203" s="605"/>
      <c r="TDK203" s="605"/>
      <c r="TDL203" s="605"/>
      <c r="TDM203" s="605"/>
      <c r="TDN203" s="605"/>
      <c r="TDO203" s="605"/>
      <c r="TDP203" s="605"/>
      <c r="TDQ203" s="605"/>
      <c r="TDR203" s="605"/>
      <c r="TDS203" s="605"/>
      <c r="TDT203" s="605"/>
      <c r="TDU203" s="605"/>
      <c r="TDV203" s="605"/>
      <c r="TDW203" s="605"/>
      <c r="TDX203" s="605"/>
      <c r="TDY203" s="605"/>
      <c r="TDZ203" s="605"/>
      <c r="TEA203" s="605"/>
      <c r="TEB203" s="605"/>
      <c r="TEC203" s="605"/>
      <c r="TED203" s="605"/>
      <c r="TEE203" s="605"/>
      <c r="TEF203" s="605"/>
      <c r="TEG203" s="605"/>
      <c r="TEH203" s="605"/>
      <c r="TEI203" s="605"/>
      <c r="TEJ203" s="605"/>
      <c r="TEK203" s="605"/>
      <c r="TEL203" s="605"/>
      <c r="TEM203" s="605"/>
      <c r="TEN203" s="605"/>
      <c r="TEO203" s="605"/>
      <c r="TEP203" s="605"/>
      <c r="TEQ203" s="605"/>
      <c r="TER203" s="605"/>
      <c r="TES203" s="605"/>
      <c r="TET203" s="605"/>
      <c r="TEU203" s="605"/>
      <c r="TEV203" s="605"/>
      <c r="TEW203" s="605"/>
      <c r="TEX203" s="605"/>
      <c r="TEY203" s="605"/>
      <c r="TEZ203" s="605"/>
      <c r="TFA203" s="605"/>
      <c r="TFB203" s="605"/>
      <c r="TFC203" s="605"/>
      <c r="TFD203" s="605"/>
      <c r="TFE203" s="605"/>
      <c r="TFF203" s="605"/>
      <c r="TFG203" s="605"/>
      <c r="TFH203" s="605"/>
      <c r="TFI203" s="605"/>
      <c r="TFJ203" s="605"/>
      <c r="TFK203" s="605"/>
      <c r="TFL203" s="605"/>
      <c r="TFM203" s="605"/>
      <c r="TFN203" s="605"/>
      <c r="TFO203" s="605"/>
      <c r="TFP203" s="605"/>
      <c r="TFQ203" s="605"/>
      <c r="TFR203" s="605"/>
      <c r="TFS203" s="605"/>
      <c r="TFT203" s="605"/>
      <c r="TFU203" s="605"/>
      <c r="TFV203" s="605"/>
      <c r="TFW203" s="605"/>
      <c r="TFX203" s="605"/>
      <c r="TFY203" s="605"/>
      <c r="TFZ203" s="605"/>
      <c r="TGA203" s="605"/>
      <c r="TGB203" s="605"/>
      <c r="TGC203" s="605"/>
      <c r="TGD203" s="605"/>
      <c r="TGE203" s="605"/>
      <c r="TGF203" s="605"/>
      <c r="TGG203" s="605"/>
      <c r="TGH203" s="605"/>
      <c r="TGI203" s="605"/>
      <c r="TGJ203" s="605"/>
      <c r="TGK203" s="605"/>
      <c r="TGL203" s="605"/>
      <c r="TGM203" s="605"/>
      <c r="TGN203" s="605"/>
      <c r="TGO203" s="605"/>
      <c r="TGP203" s="605"/>
      <c r="TGQ203" s="605"/>
      <c r="TGR203" s="605"/>
      <c r="TGS203" s="605"/>
      <c r="TGT203" s="605"/>
      <c r="TGU203" s="605"/>
      <c r="TGV203" s="605"/>
      <c r="TGW203" s="605"/>
      <c r="TGX203" s="605"/>
      <c r="TGY203" s="605"/>
      <c r="TGZ203" s="605"/>
      <c r="THA203" s="605"/>
      <c r="THB203" s="605"/>
      <c r="THC203" s="605"/>
      <c r="THD203" s="605"/>
      <c r="THE203" s="605"/>
      <c r="THF203" s="605"/>
      <c r="THG203" s="605"/>
      <c r="THH203" s="605"/>
      <c r="THI203" s="605"/>
      <c r="THJ203" s="605"/>
      <c r="THK203" s="605"/>
      <c r="THL203" s="605"/>
      <c r="THM203" s="605"/>
      <c r="THN203" s="605"/>
      <c r="THO203" s="605"/>
      <c r="THP203" s="605"/>
      <c r="THQ203" s="605"/>
      <c r="THR203" s="605"/>
      <c r="THS203" s="605"/>
      <c r="THT203" s="605"/>
      <c r="THU203" s="605"/>
      <c r="THV203" s="605"/>
      <c r="THW203" s="605"/>
      <c r="THX203" s="605"/>
      <c r="THY203" s="605"/>
      <c r="THZ203" s="605"/>
      <c r="TIA203" s="605"/>
      <c r="TIB203" s="605"/>
      <c r="TIC203" s="605"/>
      <c r="TID203" s="605"/>
      <c r="TIE203" s="605"/>
      <c r="TIF203" s="605"/>
      <c r="TIG203" s="605"/>
      <c r="TIH203" s="605"/>
      <c r="TII203" s="605"/>
      <c r="TIJ203" s="605"/>
      <c r="TIK203" s="605"/>
      <c r="TIL203" s="605"/>
      <c r="TIM203" s="605"/>
      <c r="TIN203" s="605"/>
      <c r="TIO203" s="605"/>
      <c r="TIP203" s="605"/>
      <c r="TIQ203" s="605"/>
      <c r="TIR203" s="605"/>
      <c r="TIS203" s="605"/>
      <c r="TIT203" s="605"/>
      <c r="TIU203" s="605"/>
      <c r="TIV203" s="605"/>
      <c r="TIW203" s="605"/>
      <c r="TIX203" s="605"/>
      <c r="TIY203" s="605"/>
      <c r="TIZ203" s="605"/>
      <c r="TJA203" s="605"/>
      <c r="TJB203" s="605"/>
      <c r="TJC203" s="605"/>
      <c r="TJD203" s="605"/>
      <c r="TJE203" s="605"/>
      <c r="TJF203" s="605"/>
      <c r="TJG203" s="605"/>
      <c r="TJH203" s="605"/>
      <c r="TJI203" s="605"/>
      <c r="TJJ203" s="605"/>
      <c r="TJK203" s="605"/>
      <c r="TJL203" s="605"/>
      <c r="TJM203" s="605"/>
      <c r="TJN203" s="605"/>
      <c r="TJO203" s="605"/>
      <c r="TJP203" s="605"/>
      <c r="TJQ203" s="605"/>
      <c r="TJR203" s="605"/>
      <c r="TJS203" s="605"/>
      <c r="TJT203" s="605"/>
      <c r="TJU203" s="605"/>
      <c r="TJV203" s="605"/>
      <c r="TJW203" s="605"/>
      <c r="TJX203" s="605"/>
      <c r="TJY203" s="605"/>
      <c r="TJZ203" s="605"/>
      <c r="TKA203" s="605"/>
      <c r="TKB203" s="605"/>
      <c r="TKC203" s="605"/>
      <c r="TKD203" s="605"/>
      <c r="TKE203" s="605"/>
      <c r="TKF203" s="605"/>
      <c r="TKG203" s="605"/>
      <c r="TKH203" s="605"/>
      <c r="TKI203" s="605"/>
      <c r="TKJ203" s="605"/>
      <c r="TKK203" s="605"/>
      <c r="TKL203" s="605"/>
      <c r="TKM203" s="605"/>
      <c r="TKN203" s="605"/>
      <c r="TKO203" s="605"/>
      <c r="TKP203" s="605"/>
      <c r="TKQ203" s="605"/>
      <c r="TKR203" s="605"/>
      <c r="TKS203" s="605"/>
      <c r="TKT203" s="605"/>
      <c r="TKU203" s="605"/>
      <c r="TKV203" s="605"/>
      <c r="TKW203" s="605"/>
      <c r="TKX203" s="605"/>
      <c r="TKY203" s="605"/>
      <c r="TKZ203" s="605"/>
      <c r="TLA203" s="605"/>
      <c r="TLB203" s="605"/>
      <c r="TLC203" s="605"/>
      <c r="TLD203" s="605"/>
      <c r="TLE203" s="605"/>
      <c r="TLF203" s="605"/>
      <c r="TLG203" s="605"/>
      <c r="TLH203" s="605"/>
      <c r="TLI203" s="605"/>
      <c r="TLJ203" s="605"/>
      <c r="TLK203" s="605"/>
      <c r="TLL203" s="605"/>
      <c r="TLM203" s="605"/>
      <c r="TLN203" s="605"/>
      <c r="TLO203" s="605"/>
      <c r="TLP203" s="605"/>
      <c r="TLQ203" s="605"/>
      <c r="TLR203" s="605"/>
      <c r="TLS203" s="605"/>
      <c r="TLT203" s="605"/>
      <c r="TLU203" s="605"/>
      <c r="TLV203" s="605"/>
      <c r="TLW203" s="605"/>
      <c r="TLX203" s="605"/>
      <c r="TLY203" s="605"/>
      <c r="TLZ203" s="605"/>
      <c r="TMA203" s="605"/>
      <c r="TMB203" s="605"/>
      <c r="TMC203" s="605"/>
      <c r="TMD203" s="605"/>
      <c r="TME203" s="605"/>
      <c r="TMF203" s="605"/>
      <c r="TMG203" s="605"/>
      <c r="TMH203" s="605"/>
      <c r="TMI203" s="605"/>
      <c r="TMJ203" s="605"/>
      <c r="TMK203" s="605"/>
      <c r="TML203" s="605"/>
      <c r="TMM203" s="605"/>
      <c r="TMN203" s="605"/>
      <c r="TMO203" s="605"/>
      <c r="TMP203" s="605"/>
      <c r="TMQ203" s="605"/>
      <c r="TMR203" s="605"/>
      <c r="TMS203" s="605"/>
      <c r="TMT203" s="605"/>
      <c r="TMU203" s="605"/>
      <c r="TMV203" s="605"/>
      <c r="TMW203" s="605"/>
      <c r="TMX203" s="605"/>
      <c r="TMY203" s="605"/>
      <c r="TMZ203" s="605"/>
      <c r="TNA203" s="605"/>
      <c r="TNB203" s="605"/>
      <c r="TNC203" s="605"/>
      <c r="TND203" s="605"/>
      <c r="TNE203" s="605"/>
      <c r="TNF203" s="605"/>
      <c r="TNG203" s="605"/>
      <c r="TNH203" s="605"/>
      <c r="TNI203" s="605"/>
      <c r="TNJ203" s="605"/>
      <c r="TNK203" s="605"/>
      <c r="TNL203" s="605"/>
      <c r="TNM203" s="605"/>
      <c r="TNN203" s="605"/>
      <c r="TNO203" s="605"/>
      <c r="TNP203" s="605"/>
      <c r="TNQ203" s="605"/>
      <c r="TNR203" s="605"/>
      <c r="TNS203" s="605"/>
      <c r="TNT203" s="605"/>
      <c r="TNU203" s="605"/>
      <c r="TNV203" s="605"/>
      <c r="TNW203" s="605"/>
      <c r="TNX203" s="605"/>
      <c r="TNY203" s="605"/>
      <c r="TNZ203" s="605"/>
      <c r="TOA203" s="605"/>
      <c r="TOB203" s="605"/>
      <c r="TOC203" s="605"/>
      <c r="TOD203" s="605"/>
      <c r="TOE203" s="605"/>
      <c r="TOF203" s="605"/>
      <c r="TOG203" s="605"/>
      <c r="TOH203" s="605"/>
      <c r="TOI203" s="605"/>
      <c r="TOJ203" s="605"/>
      <c r="TOK203" s="605"/>
      <c r="TOL203" s="605"/>
      <c r="TOM203" s="605"/>
      <c r="TON203" s="605"/>
      <c r="TOO203" s="605"/>
      <c r="TOP203" s="605"/>
      <c r="TOQ203" s="605"/>
      <c r="TOR203" s="605"/>
      <c r="TOS203" s="605"/>
      <c r="TOT203" s="605"/>
      <c r="TOU203" s="605"/>
      <c r="TOV203" s="605"/>
      <c r="TOW203" s="605"/>
      <c r="TOX203" s="605"/>
      <c r="TOY203" s="605"/>
      <c r="TOZ203" s="605"/>
      <c r="TPA203" s="605"/>
      <c r="TPB203" s="605"/>
      <c r="TPC203" s="605"/>
      <c r="TPD203" s="605"/>
      <c r="TPE203" s="605"/>
      <c r="TPF203" s="605"/>
      <c r="TPG203" s="605"/>
      <c r="TPH203" s="605"/>
      <c r="TPI203" s="605"/>
      <c r="TPJ203" s="605"/>
      <c r="TPK203" s="605"/>
      <c r="TPL203" s="605"/>
      <c r="TPM203" s="605"/>
      <c r="TPN203" s="605"/>
      <c r="TPO203" s="605"/>
      <c r="TPP203" s="605"/>
      <c r="TPQ203" s="605"/>
      <c r="TPR203" s="605"/>
      <c r="TPS203" s="605"/>
      <c r="TPT203" s="605"/>
      <c r="TPU203" s="605"/>
      <c r="TPV203" s="605"/>
      <c r="TPW203" s="605"/>
      <c r="TPX203" s="605"/>
      <c r="TPY203" s="605"/>
      <c r="TPZ203" s="605"/>
      <c r="TQA203" s="605"/>
      <c r="TQB203" s="605"/>
      <c r="TQC203" s="605"/>
      <c r="TQD203" s="605"/>
      <c r="TQE203" s="605"/>
      <c r="TQF203" s="605"/>
      <c r="TQG203" s="605"/>
      <c r="TQH203" s="605"/>
      <c r="TQI203" s="605"/>
      <c r="TQJ203" s="605"/>
      <c r="TQK203" s="605"/>
      <c r="TQL203" s="605"/>
      <c r="TQM203" s="605"/>
      <c r="TQN203" s="605"/>
      <c r="TQO203" s="605"/>
      <c r="TQP203" s="605"/>
      <c r="TQQ203" s="605"/>
      <c r="TQR203" s="605"/>
      <c r="TQS203" s="605"/>
      <c r="TQT203" s="605"/>
      <c r="TQU203" s="605"/>
      <c r="TQV203" s="605"/>
      <c r="TQW203" s="605"/>
      <c r="TQX203" s="605"/>
      <c r="TQY203" s="605"/>
      <c r="TQZ203" s="605"/>
      <c r="TRA203" s="605"/>
      <c r="TRB203" s="605"/>
      <c r="TRC203" s="605"/>
      <c r="TRD203" s="605"/>
      <c r="TRE203" s="605"/>
      <c r="TRF203" s="605"/>
      <c r="TRG203" s="605"/>
      <c r="TRH203" s="605"/>
      <c r="TRI203" s="605"/>
      <c r="TRJ203" s="605"/>
      <c r="TRK203" s="605"/>
      <c r="TRL203" s="605"/>
      <c r="TRM203" s="605"/>
      <c r="TRN203" s="605"/>
      <c r="TRO203" s="605"/>
      <c r="TRP203" s="605"/>
      <c r="TRQ203" s="605"/>
      <c r="TRR203" s="605"/>
      <c r="TRS203" s="605"/>
      <c r="TRT203" s="605"/>
      <c r="TRU203" s="605"/>
      <c r="TRV203" s="605"/>
      <c r="TRW203" s="605"/>
      <c r="TRX203" s="605"/>
      <c r="TRY203" s="605"/>
      <c r="TRZ203" s="605"/>
      <c r="TSA203" s="605"/>
      <c r="TSB203" s="605"/>
      <c r="TSC203" s="605"/>
      <c r="TSD203" s="605"/>
      <c r="TSE203" s="605"/>
      <c r="TSF203" s="605"/>
      <c r="TSG203" s="605"/>
      <c r="TSH203" s="605"/>
      <c r="TSI203" s="605"/>
      <c r="TSJ203" s="605"/>
      <c r="TSK203" s="605"/>
      <c r="TSL203" s="605"/>
      <c r="TSM203" s="605"/>
      <c r="TSN203" s="605"/>
      <c r="TSO203" s="605"/>
      <c r="TSP203" s="605"/>
      <c r="TSQ203" s="605"/>
      <c r="TSR203" s="605"/>
      <c r="TSS203" s="605"/>
      <c r="TST203" s="605"/>
      <c r="TSU203" s="605"/>
      <c r="TSV203" s="605"/>
      <c r="TSW203" s="605"/>
      <c r="TSX203" s="605"/>
      <c r="TSY203" s="605"/>
      <c r="TSZ203" s="605"/>
      <c r="TTA203" s="605"/>
      <c r="TTB203" s="605"/>
      <c r="TTC203" s="605"/>
      <c r="TTD203" s="605"/>
      <c r="TTE203" s="605"/>
      <c r="TTF203" s="605"/>
      <c r="TTG203" s="605"/>
      <c r="TTH203" s="605"/>
      <c r="TTI203" s="605"/>
      <c r="TTJ203" s="605"/>
      <c r="TTK203" s="605"/>
      <c r="TTL203" s="605"/>
      <c r="TTM203" s="605"/>
      <c r="TTN203" s="605"/>
      <c r="TTO203" s="605"/>
      <c r="TTP203" s="605"/>
      <c r="TTQ203" s="605"/>
      <c r="TTR203" s="605"/>
      <c r="TTS203" s="605"/>
      <c r="TTT203" s="605"/>
      <c r="TTU203" s="605"/>
      <c r="TTV203" s="605"/>
      <c r="TTW203" s="605"/>
      <c r="TTX203" s="605"/>
      <c r="TTY203" s="605"/>
      <c r="TTZ203" s="605"/>
      <c r="TUA203" s="605"/>
      <c r="TUB203" s="605"/>
      <c r="TUC203" s="605"/>
      <c r="TUD203" s="605"/>
      <c r="TUE203" s="605"/>
      <c r="TUF203" s="605"/>
      <c r="TUG203" s="605"/>
      <c r="TUH203" s="605"/>
      <c r="TUI203" s="605"/>
      <c r="TUJ203" s="605"/>
      <c r="TUK203" s="605"/>
      <c r="TUL203" s="605"/>
      <c r="TUM203" s="605"/>
      <c r="TUN203" s="605"/>
      <c r="TUO203" s="605"/>
      <c r="TUP203" s="605"/>
      <c r="TUQ203" s="605"/>
      <c r="TUR203" s="605"/>
      <c r="TUS203" s="605"/>
      <c r="TUT203" s="605"/>
      <c r="TUU203" s="605"/>
      <c r="TUV203" s="605"/>
      <c r="TUW203" s="605"/>
      <c r="TUX203" s="605"/>
      <c r="TUY203" s="605"/>
      <c r="TUZ203" s="605"/>
      <c r="TVA203" s="605"/>
      <c r="TVB203" s="605"/>
      <c r="TVC203" s="605"/>
      <c r="TVD203" s="605"/>
      <c r="TVE203" s="605"/>
      <c r="TVF203" s="605"/>
      <c r="TVG203" s="605"/>
      <c r="TVH203" s="605"/>
      <c r="TVI203" s="605"/>
      <c r="TVJ203" s="605"/>
      <c r="TVK203" s="605"/>
      <c r="TVL203" s="605"/>
      <c r="TVM203" s="605"/>
      <c r="TVN203" s="605"/>
      <c r="TVO203" s="605"/>
      <c r="TVP203" s="605"/>
      <c r="TVQ203" s="605"/>
      <c r="TVR203" s="605"/>
      <c r="TVS203" s="605"/>
      <c r="TVT203" s="605"/>
      <c r="TVU203" s="605"/>
      <c r="TVV203" s="605"/>
      <c r="TVW203" s="605"/>
      <c r="TVX203" s="605"/>
      <c r="TVY203" s="605"/>
      <c r="TVZ203" s="605"/>
      <c r="TWA203" s="605"/>
      <c r="TWB203" s="605"/>
      <c r="TWC203" s="605"/>
      <c r="TWD203" s="605"/>
      <c r="TWE203" s="605"/>
      <c r="TWF203" s="605"/>
      <c r="TWG203" s="605"/>
      <c r="TWH203" s="605"/>
      <c r="TWI203" s="605"/>
      <c r="TWJ203" s="605"/>
      <c r="TWK203" s="605"/>
      <c r="TWL203" s="605"/>
      <c r="TWM203" s="605"/>
      <c r="TWN203" s="605"/>
      <c r="TWO203" s="605"/>
      <c r="TWP203" s="605"/>
      <c r="TWQ203" s="605"/>
      <c r="TWR203" s="605"/>
      <c r="TWS203" s="605"/>
      <c r="TWT203" s="605"/>
      <c r="TWU203" s="605"/>
      <c r="TWV203" s="605"/>
      <c r="TWW203" s="605"/>
      <c r="TWX203" s="605"/>
      <c r="TWY203" s="605"/>
      <c r="TWZ203" s="605"/>
      <c r="TXA203" s="605"/>
      <c r="TXB203" s="605"/>
      <c r="TXC203" s="605"/>
      <c r="TXD203" s="605"/>
      <c r="TXE203" s="605"/>
      <c r="TXF203" s="605"/>
      <c r="TXG203" s="605"/>
      <c r="TXH203" s="605"/>
      <c r="TXI203" s="605"/>
      <c r="TXJ203" s="605"/>
      <c r="TXK203" s="605"/>
      <c r="TXL203" s="605"/>
      <c r="TXM203" s="605"/>
      <c r="TXN203" s="605"/>
      <c r="TXO203" s="605"/>
      <c r="TXP203" s="605"/>
      <c r="TXQ203" s="605"/>
      <c r="TXR203" s="605"/>
      <c r="TXS203" s="605"/>
      <c r="TXT203" s="605"/>
      <c r="TXU203" s="605"/>
      <c r="TXV203" s="605"/>
      <c r="TXW203" s="605"/>
      <c r="TXX203" s="605"/>
      <c r="TXY203" s="605"/>
      <c r="TXZ203" s="605"/>
      <c r="TYA203" s="605"/>
      <c r="TYB203" s="605"/>
      <c r="TYC203" s="605"/>
      <c r="TYD203" s="605"/>
      <c r="TYE203" s="605"/>
      <c r="TYF203" s="605"/>
      <c r="TYG203" s="605"/>
      <c r="TYH203" s="605"/>
      <c r="TYI203" s="605"/>
      <c r="TYJ203" s="605"/>
      <c r="TYK203" s="605"/>
      <c r="TYL203" s="605"/>
      <c r="TYM203" s="605"/>
      <c r="TYN203" s="605"/>
      <c r="TYO203" s="605"/>
      <c r="TYP203" s="605"/>
      <c r="TYQ203" s="605"/>
      <c r="TYR203" s="605"/>
      <c r="TYS203" s="605"/>
      <c r="TYT203" s="605"/>
      <c r="TYU203" s="605"/>
      <c r="TYV203" s="605"/>
      <c r="TYW203" s="605"/>
      <c r="TYX203" s="605"/>
      <c r="TYY203" s="605"/>
      <c r="TYZ203" s="605"/>
      <c r="TZA203" s="605"/>
      <c r="TZB203" s="605"/>
      <c r="TZC203" s="605"/>
      <c r="TZD203" s="605"/>
      <c r="TZE203" s="605"/>
      <c r="TZF203" s="605"/>
      <c r="TZG203" s="605"/>
      <c r="TZH203" s="605"/>
      <c r="TZI203" s="605"/>
      <c r="TZJ203" s="605"/>
      <c r="TZK203" s="605"/>
      <c r="TZL203" s="605"/>
      <c r="TZM203" s="605"/>
      <c r="TZN203" s="605"/>
      <c r="TZO203" s="605"/>
      <c r="TZP203" s="605"/>
      <c r="TZQ203" s="605"/>
      <c r="TZR203" s="605"/>
      <c r="TZS203" s="605"/>
      <c r="TZT203" s="605"/>
      <c r="TZU203" s="605"/>
      <c r="TZV203" s="605"/>
      <c r="TZW203" s="605"/>
      <c r="TZX203" s="605"/>
      <c r="TZY203" s="605"/>
      <c r="TZZ203" s="605"/>
      <c r="UAA203" s="605"/>
      <c r="UAB203" s="605"/>
      <c r="UAC203" s="605"/>
      <c r="UAD203" s="605"/>
      <c r="UAE203" s="605"/>
      <c r="UAF203" s="605"/>
      <c r="UAG203" s="605"/>
      <c r="UAH203" s="605"/>
      <c r="UAI203" s="605"/>
      <c r="UAJ203" s="605"/>
      <c r="UAK203" s="605"/>
      <c r="UAL203" s="605"/>
      <c r="UAM203" s="605"/>
      <c r="UAN203" s="605"/>
      <c r="UAO203" s="605"/>
      <c r="UAP203" s="605"/>
      <c r="UAQ203" s="605"/>
      <c r="UAR203" s="605"/>
      <c r="UAS203" s="605"/>
      <c r="UAT203" s="605"/>
      <c r="UAU203" s="605"/>
      <c r="UAV203" s="605"/>
      <c r="UAW203" s="605"/>
      <c r="UAX203" s="605"/>
      <c r="UAY203" s="605"/>
      <c r="UAZ203" s="605"/>
      <c r="UBA203" s="605"/>
      <c r="UBB203" s="605"/>
      <c r="UBC203" s="605"/>
      <c r="UBD203" s="605"/>
      <c r="UBE203" s="605"/>
      <c r="UBF203" s="605"/>
      <c r="UBG203" s="605"/>
      <c r="UBH203" s="605"/>
      <c r="UBI203" s="605"/>
      <c r="UBJ203" s="605"/>
      <c r="UBK203" s="605"/>
      <c r="UBL203" s="605"/>
      <c r="UBM203" s="605"/>
      <c r="UBN203" s="605"/>
      <c r="UBO203" s="605"/>
      <c r="UBP203" s="605"/>
      <c r="UBQ203" s="605"/>
      <c r="UBR203" s="605"/>
      <c r="UBS203" s="605"/>
      <c r="UBT203" s="605"/>
      <c r="UBU203" s="605"/>
      <c r="UBV203" s="605"/>
      <c r="UBW203" s="605"/>
      <c r="UBX203" s="605"/>
      <c r="UBY203" s="605"/>
      <c r="UBZ203" s="605"/>
      <c r="UCA203" s="605"/>
      <c r="UCB203" s="605"/>
      <c r="UCC203" s="605"/>
      <c r="UCD203" s="605"/>
      <c r="UCE203" s="605"/>
      <c r="UCF203" s="605"/>
      <c r="UCG203" s="605"/>
      <c r="UCH203" s="605"/>
      <c r="UCI203" s="605"/>
      <c r="UCJ203" s="605"/>
      <c r="UCK203" s="605"/>
      <c r="UCL203" s="605"/>
      <c r="UCM203" s="605"/>
      <c r="UCN203" s="605"/>
      <c r="UCO203" s="605"/>
      <c r="UCP203" s="605"/>
      <c r="UCQ203" s="605"/>
      <c r="UCR203" s="605"/>
      <c r="UCS203" s="605"/>
      <c r="UCT203" s="605"/>
      <c r="UCU203" s="605"/>
      <c r="UCV203" s="605"/>
      <c r="UCW203" s="605"/>
      <c r="UCX203" s="605"/>
      <c r="UCY203" s="605"/>
      <c r="UCZ203" s="605"/>
      <c r="UDA203" s="605"/>
      <c r="UDB203" s="605"/>
      <c r="UDC203" s="605"/>
      <c r="UDD203" s="605"/>
      <c r="UDE203" s="605"/>
      <c r="UDF203" s="605"/>
      <c r="UDG203" s="605"/>
      <c r="UDH203" s="605"/>
      <c r="UDI203" s="605"/>
      <c r="UDJ203" s="605"/>
      <c r="UDK203" s="605"/>
      <c r="UDL203" s="605"/>
      <c r="UDM203" s="605"/>
      <c r="UDN203" s="605"/>
      <c r="UDO203" s="605"/>
      <c r="UDP203" s="605"/>
      <c r="UDQ203" s="605"/>
      <c r="UDR203" s="605"/>
      <c r="UDS203" s="605"/>
      <c r="UDT203" s="605"/>
      <c r="UDU203" s="605"/>
      <c r="UDV203" s="605"/>
      <c r="UDW203" s="605"/>
      <c r="UDX203" s="605"/>
      <c r="UDY203" s="605"/>
      <c r="UDZ203" s="605"/>
      <c r="UEA203" s="605"/>
      <c r="UEB203" s="605"/>
      <c r="UEC203" s="605"/>
      <c r="UED203" s="605"/>
      <c r="UEE203" s="605"/>
      <c r="UEF203" s="605"/>
      <c r="UEG203" s="605"/>
      <c r="UEH203" s="605"/>
      <c r="UEI203" s="605"/>
      <c r="UEJ203" s="605"/>
      <c r="UEK203" s="605"/>
      <c r="UEL203" s="605"/>
      <c r="UEM203" s="605"/>
      <c r="UEN203" s="605"/>
      <c r="UEO203" s="605"/>
      <c r="UEP203" s="605"/>
      <c r="UEQ203" s="605"/>
      <c r="UER203" s="605"/>
      <c r="UES203" s="605"/>
      <c r="UET203" s="605"/>
      <c r="UEU203" s="605"/>
      <c r="UEV203" s="605"/>
      <c r="UEW203" s="605"/>
      <c r="UEX203" s="605"/>
      <c r="UEY203" s="605"/>
      <c r="UEZ203" s="605"/>
      <c r="UFA203" s="605"/>
      <c r="UFB203" s="605"/>
      <c r="UFC203" s="605"/>
      <c r="UFD203" s="605"/>
      <c r="UFE203" s="605"/>
      <c r="UFF203" s="605"/>
      <c r="UFG203" s="605"/>
      <c r="UFH203" s="605"/>
      <c r="UFI203" s="605"/>
      <c r="UFJ203" s="605"/>
      <c r="UFK203" s="605"/>
      <c r="UFL203" s="605"/>
      <c r="UFM203" s="605"/>
      <c r="UFN203" s="605"/>
      <c r="UFO203" s="605"/>
      <c r="UFP203" s="605"/>
      <c r="UFQ203" s="605"/>
      <c r="UFR203" s="605"/>
      <c r="UFS203" s="605"/>
      <c r="UFT203" s="605"/>
      <c r="UFU203" s="605"/>
      <c r="UFV203" s="605"/>
      <c r="UFW203" s="605"/>
      <c r="UFX203" s="605"/>
      <c r="UFY203" s="605"/>
      <c r="UFZ203" s="605"/>
      <c r="UGA203" s="605"/>
      <c r="UGB203" s="605"/>
      <c r="UGC203" s="605"/>
      <c r="UGD203" s="605"/>
      <c r="UGE203" s="605"/>
      <c r="UGF203" s="605"/>
      <c r="UGG203" s="605"/>
      <c r="UGH203" s="605"/>
      <c r="UGI203" s="605"/>
      <c r="UGJ203" s="605"/>
      <c r="UGK203" s="605"/>
      <c r="UGL203" s="605"/>
      <c r="UGM203" s="605"/>
      <c r="UGN203" s="605"/>
      <c r="UGO203" s="605"/>
      <c r="UGP203" s="605"/>
      <c r="UGQ203" s="605"/>
      <c r="UGR203" s="605"/>
      <c r="UGS203" s="605"/>
      <c r="UGT203" s="605"/>
      <c r="UGU203" s="605"/>
      <c r="UGV203" s="605"/>
      <c r="UGW203" s="605"/>
      <c r="UGX203" s="605"/>
      <c r="UGY203" s="605"/>
      <c r="UGZ203" s="605"/>
      <c r="UHA203" s="605"/>
      <c r="UHB203" s="605"/>
      <c r="UHC203" s="605"/>
      <c r="UHD203" s="605"/>
      <c r="UHE203" s="605"/>
      <c r="UHF203" s="605"/>
      <c r="UHG203" s="605"/>
      <c r="UHH203" s="605"/>
      <c r="UHI203" s="605"/>
      <c r="UHJ203" s="605"/>
      <c r="UHK203" s="605"/>
      <c r="UHL203" s="605"/>
      <c r="UHM203" s="605"/>
      <c r="UHN203" s="605"/>
      <c r="UHO203" s="605"/>
      <c r="UHP203" s="605"/>
      <c r="UHQ203" s="605"/>
      <c r="UHR203" s="605"/>
      <c r="UHS203" s="605"/>
      <c r="UHT203" s="605"/>
      <c r="UHU203" s="605"/>
      <c r="UHV203" s="605"/>
      <c r="UHW203" s="605"/>
      <c r="UHX203" s="605"/>
      <c r="UHY203" s="605"/>
      <c r="UHZ203" s="605"/>
      <c r="UIA203" s="605"/>
      <c r="UIB203" s="605"/>
      <c r="UIC203" s="605"/>
      <c r="UID203" s="605"/>
      <c r="UIE203" s="605"/>
      <c r="UIF203" s="605"/>
      <c r="UIG203" s="605"/>
      <c r="UIH203" s="605"/>
      <c r="UII203" s="605"/>
      <c r="UIJ203" s="605"/>
      <c r="UIK203" s="605"/>
      <c r="UIL203" s="605"/>
      <c r="UIM203" s="605"/>
      <c r="UIN203" s="605"/>
      <c r="UIO203" s="605"/>
      <c r="UIP203" s="605"/>
      <c r="UIQ203" s="605"/>
      <c r="UIR203" s="605"/>
      <c r="UIS203" s="605"/>
      <c r="UIT203" s="605"/>
      <c r="UIU203" s="605"/>
      <c r="UIV203" s="605"/>
      <c r="UIW203" s="605"/>
      <c r="UIX203" s="605"/>
      <c r="UIY203" s="605"/>
      <c r="UIZ203" s="605"/>
      <c r="UJA203" s="605"/>
      <c r="UJB203" s="605"/>
      <c r="UJC203" s="605"/>
      <c r="UJD203" s="605"/>
      <c r="UJE203" s="605"/>
      <c r="UJF203" s="605"/>
      <c r="UJG203" s="605"/>
      <c r="UJH203" s="605"/>
      <c r="UJI203" s="605"/>
      <c r="UJJ203" s="605"/>
      <c r="UJK203" s="605"/>
      <c r="UJL203" s="605"/>
      <c r="UJM203" s="605"/>
      <c r="UJN203" s="605"/>
      <c r="UJO203" s="605"/>
      <c r="UJP203" s="605"/>
      <c r="UJQ203" s="605"/>
      <c r="UJR203" s="605"/>
      <c r="UJS203" s="605"/>
      <c r="UJT203" s="605"/>
      <c r="UJU203" s="605"/>
      <c r="UJV203" s="605"/>
      <c r="UJW203" s="605"/>
      <c r="UJX203" s="605"/>
      <c r="UJY203" s="605"/>
      <c r="UJZ203" s="605"/>
      <c r="UKA203" s="605"/>
      <c r="UKB203" s="605"/>
      <c r="UKC203" s="605"/>
      <c r="UKD203" s="605"/>
      <c r="UKE203" s="605"/>
      <c r="UKF203" s="605"/>
      <c r="UKG203" s="605"/>
      <c r="UKH203" s="605"/>
      <c r="UKI203" s="605"/>
      <c r="UKJ203" s="605"/>
      <c r="UKK203" s="605"/>
      <c r="UKL203" s="605"/>
      <c r="UKM203" s="605"/>
      <c r="UKN203" s="605"/>
      <c r="UKO203" s="605"/>
      <c r="UKP203" s="605"/>
      <c r="UKQ203" s="605"/>
      <c r="UKR203" s="605"/>
      <c r="UKS203" s="605"/>
      <c r="UKT203" s="605"/>
      <c r="UKU203" s="605"/>
      <c r="UKV203" s="605"/>
      <c r="UKW203" s="605"/>
      <c r="UKX203" s="605"/>
      <c r="UKY203" s="605"/>
      <c r="UKZ203" s="605"/>
      <c r="ULA203" s="605"/>
      <c r="ULB203" s="605"/>
      <c r="ULC203" s="605"/>
      <c r="ULD203" s="605"/>
      <c r="ULE203" s="605"/>
      <c r="ULF203" s="605"/>
      <c r="ULG203" s="605"/>
      <c r="ULH203" s="605"/>
      <c r="ULI203" s="605"/>
      <c r="ULJ203" s="605"/>
      <c r="ULK203" s="605"/>
      <c r="ULL203" s="605"/>
      <c r="ULM203" s="605"/>
      <c r="ULN203" s="605"/>
      <c r="ULO203" s="605"/>
      <c r="ULP203" s="605"/>
      <c r="ULQ203" s="605"/>
      <c r="ULR203" s="605"/>
      <c r="ULS203" s="605"/>
      <c r="ULT203" s="605"/>
      <c r="ULU203" s="605"/>
      <c r="ULV203" s="605"/>
      <c r="ULW203" s="605"/>
      <c r="ULX203" s="605"/>
      <c r="ULY203" s="605"/>
      <c r="ULZ203" s="605"/>
      <c r="UMA203" s="605"/>
      <c r="UMB203" s="605"/>
      <c r="UMC203" s="605"/>
      <c r="UMD203" s="605"/>
      <c r="UME203" s="605"/>
      <c r="UMF203" s="605"/>
      <c r="UMG203" s="605"/>
      <c r="UMH203" s="605"/>
      <c r="UMI203" s="605"/>
      <c r="UMJ203" s="605"/>
      <c r="UMK203" s="605"/>
      <c r="UML203" s="605"/>
      <c r="UMM203" s="605"/>
      <c r="UMN203" s="605"/>
      <c r="UMO203" s="605"/>
      <c r="UMP203" s="605"/>
      <c r="UMQ203" s="605"/>
      <c r="UMR203" s="605"/>
      <c r="UMS203" s="605"/>
      <c r="UMT203" s="605"/>
      <c r="UMU203" s="605"/>
      <c r="UMV203" s="605"/>
      <c r="UMW203" s="605"/>
      <c r="UMX203" s="605"/>
      <c r="UMY203" s="605"/>
      <c r="UMZ203" s="605"/>
      <c r="UNA203" s="605"/>
      <c r="UNB203" s="605"/>
      <c r="UNC203" s="605"/>
      <c r="UND203" s="605"/>
      <c r="UNE203" s="605"/>
      <c r="UNF203" s="605"/>
      <c r="UNG203" s="605"/>
      <c r="UNH203" s="605"/>
      <c r="UNI203" s="605"/>
      <c r="UNJ203" s="605"/>
      <c r="UNK203" s="605"/>
      <c r="UNL203" s="605"/>
      <c r="UNM203" s="605"/>
      <c r="UNN203" s="605"/>
      <c r="UNO203" s="605"/>
      <c r="UNP203" s="605"/>
      <c r="UNQ203" s="605"/>
      <c r="UNR203" s="605"/>
      <c r="UNS203" s="605"/>
      <c r="UNT203" s="605"/>
      <c r="UNU203" s="605"/>
      <c r="UNV203" s="605"/>
      <c r="UNW203" s="605"/>
      <c r="UNX203" s="605"/>
      <c r="UNY203" s="605"/>
      <c r="UNZ203" s="605"/>
      <c r="UOA203" s="605"/>
      <c r="UOB203" s="605"/>
      <c r="UOC203" s="605"/>
      <c r="UOD203" s="605"/>
      <c r="UOE203" s="605"/>
      <c r="UOF203" s="605"/>
      <c r="UOG203" s="605"/>
      <c r="UOH203" s="605"/>
      <c r="UOI203" s="605"/>
      <c r="UOJ203" s="605"/>
      <c r="UOK203" s="605"/>
      <c r="UOL203" s="605"/>
      <c r="UOM203" s="605"/>
      <c r="UON203" s="605"/>
      <c r="UOO203" s="605"/>
      <c r="UOP203" s="605"/>
      <c r="UOQ203" s="605"/>
      <c r="UOR203" s="605"/>
      <c r="UOS203" s="605"/>
      <c r="UOT203" s="605"/>
      <c r="UOU203" s="605"/>
      <c r="UOV203" s="605"/>
      <c r="UOW203" s="605"/>
      <c r="UOX203" s="605"/>
      <c r="UOY203" s="605"/>
      <c r="UOZ203" s="605"/>
      <c r="UPA203" s="605"/>
      <c r="UPB203" s="605"/>
      <c r="UPC203" s="605"/>
      <c r="UPD203" s="605"/>
      <c r="UPE203" s="605"/>
      <c r="UPF203" s="605"/>
      <c r="UPG203" s="605"/>
      <c r="UPH203" s="605"/>
      <c r="UPI203" s="605"/>
      <c r="UPJ203" s="605"/>
      <c r="UPK203" s="605"/>
      <c r="UPL203" s="605"/>
      <c r="UPM203" s="605"/>
      <c r="UPN203" s="605"/>
      <c r="UPO203" s="605"/>
      <c r="UPP203" s="605"/>
      <c r="UPQ203" s="605"/>
      <c r="UPR203" s="605"/>
      <c r="UPS203" s="605"/>
      <c r="UPT203" s="605"/>
      <c r="UPU203" s="605"/>
      <c r="UPV203" s="605"/>
      <c r="UPW203" s="605"/>
      <c r="UPX203" s="605"/>
      <c r="UPY203" s="605"/>
      <c r="UPZ203" s="605"/>
      <c r="UQA203" s="605"/>
      <c r="UQB203" s="605"/>
      <c r="UQC203" s="605"/>
      <c r="UQD203" s="605"/>
      <c r="UQE203" s="605"/>
      <c r="UQF203" s="605"/>
      <c r="UQG203" s="605"/>
      <c r="UQH203" s="605"/>
      <c r="UQI203" s="605"/>
      <c r="UQJ203" s="605"/>
      <c r="UQK203" s="605"/>
      <c r="UQL203" s="605"/>
      <c r="UQM203" s="605"/>
      <c r="UQN203" s="605"/>
      <c r="UQO203" s="605"/>
      <c r="UQP203" s="605"/>
      <c r="UQQ203" s="605"/>
      <c r="UQR203" s="605"/>
      <c r="UQS203" s="605"/>
      <c r="UQT203" s="605"/>
      <c r="UQU203" s="605"/>
      <c r="UQV203" s="605"/>
      <c r="UQW203" s="605"/>
      <c r="UQX203" s="605"/>
      <c r="UQY203" s="605"/>
      <c r="UQZ203" s="605"/>
      <c r="URA203" s="605"/>
      <c r="URB203" s="605"/>
      <c r="URC203" s="605"/>
      <c r="URD203" s="605"/>
      <c r="URE203" s="605"/>
      <c r="URF203" s="605"/>
      <c r="URG203" s="605"/>
      <c r="URH203" s="605"/>
      <c r="URI203" s="605"/>
      <c r="URJ203" s="605"/>
      <c r="URK203" s="605"/>
      <c r="URL203" s="605"/>
      <c r="URM203" s="605"/>
      <c r="URN203" s="605"/>
      <c r="URO203" s="605"/>
      <c r="URP203" s="605"/>
      <c r="URQ203" s="605"/>
      <c r="URR203" s="605"/>
      <c r="URS203" s="605"/>
      <c r="URT203" s="605"/>
      <c r="URU203" s="605"/>
      <c r="URV203" s="605"/>
      <c r="URW203" s="605"/>
      <c r="URX203" s="605"/>
      <c r="URY203" s="605"/>
      <c r="URZ203" s="605"/>
      <c r="USA203" s="605"/>
      <c r="USB203" s="605"/>
      <c r="USC203" s="605"/>
      <c r="USD203" s="605"/>
      <c r="USE203" s="605"/>
      <c r="USF203" s="605"/>
      <c r="USG203" s="605"/>
      <c r="USH203" s="605"/>
      <c r="USI203" s="605"/>
      <c r="USJ203" s="605"/>
      <c r="USK203" s="605"/>
      <c r="USL203" s="605"/>
      <c r="USM203" s="605"/>
      <c r="USN203" s="605"/>
      <c r="USO203" s="605"/>
      <c r="USP203" s="605"/>
      <c r="USQ203" s="605"/>
      <c r="USR203" s="605"/>
      <c r="USS203" s="605"/>
      <c r="UST203" s="605"/>
      <c r="USU203" s="605"/>
      <c r="USV203" s="605"/>
      <c r="USW203" s="605"/>
      <c r="USX203" s="605"/>
      <c r="USY203" s="605"/>
      <c r="USZ203" s="605"/>
      <c r="UTA203" s="605"/>
      <c r="UTB203" s="605"/>
      <c r="UTC203" s="605"/>
      <c r="UTD203" s="605"/>
      <c r="UTE203" s="605"/>
      <c r="UTF203" s="605"/>
      <c r="UTG203" s="605"/>
      <c r="UTH203" s="605"/>
      <c r="UTI203" s="605"/>
      <c r="UTJ203" s="605"/>
      <c r="UTK203" s="605"/>
      <c r="UTL203" s="605"/>
      <c r="UTM203" s="605"/>
      <c r="UTN203" s="605"/>
      <c r="UTO203" s="605"/>
      <c r="UTP203" s="605"/>
      <c r="UTQ203" s="605"/>
      <c r="UTR203" s="605"/>
      <c r="UTS203" s="605"/>
      <c r="UTT203" s="605"/>
      <c r="UTU203" s="605"/>
      <c r="UTV203" s="605"/>
      <c r="UTW203" s="605"/>
      <c r="UTX203" s="605"/>
      <c r="UTY203" s="605"/>
      <c r="UTZ203" s="605"/>
      <c r="UUA203" s="605"/>
      <c r="UUB203" s="605"/>
      <c r="UUC203" s="605"/>
      <c r="UUD203" s="605"/>
      <c r="UUE203" s="605"/>
      <c r="UUF203" s="605"/>
      <c r="UUG203" s="605"/>
      <c r="UUH203" s="605"/>
      <c r="UUI203" s="605"/>
      <c r="UUJ203" s="605"/>
      <c r="UUK203" s="605"/>
      <c r="UUL203" s="605"/>
      <c r="UUM203" s="605"/>
      <c r="UUN203" s="605"/>
      <c r="UUO203" s="605"/>
      <c r="UUP203" s="605"/>
      <c r="UUQ203" s="605"/>
      <c r="UUR203" s="605"/>
      <c r="UUS203" s="605"/>
      <c r="UUT203" s="605"/>
      <c r="UUU203" s="605"/>
      <c r="UUV203" s="605"/>
      <c r="UUW203" s="605"/>
      <c r="UUX203" s="605"/>
      <c r="UUY203" s="605"/>
      <c r="UUZ203" s="605"/>
      <c r="UVA203" s="605"/>
      <c r="UVB203" s="605"/>
      <c r="UVC203" s="605"/>
      <c r="UVD203" s="605"/>
      <c r="UVE203" s="605"/>
      <c r="UVF203" s="605"/>
      <c r="UVG203" s="605"/>
      <c r="UVH203" s="605"/>
      <c r="UVI203" s="605"/>
      <c r="UVJ203" s="605"/>
      <c r="UVK203" s="605"/>
      <c r="UVL203" s="605"/>
      <c r="UVM203" s="605"/>
      <c r="UVN203" s="605"/>
      <c r="UVO203" s="605"/>
      <c r="UVP203" s="605"/>
      <c r="UVQ203" s="605"/>
      <c r="UVR203" s="605"/>
      <c r="UVS203" s="605"/>
      <c r="UVT203" s="605"/>
      <c r="UVU203" s="605"/>
      <c r="UVV203" s="605"/>
      <c r="UVW203" s="605"/>
      <c r="UVX203" s="605"/>
      <c r="UVY203" s="605"/>
      <c r="UVZ203" s="605"/>
      <c r="UWA203" s="605"/>
      <c r="UWB203" s="605"/>
      <c r="UWC203" s="605"/>
      <c r="UWD203" s="605"/>
      <c r="UWE203" s="605"/>
      <c r="UWF203" s="605"/>
      <c r="UWG203" s="605"/>
      <c r="UWH203" s="605"/>
      <c r="UWI203" s="605"/>
      <c r="UWJ203" s="605"/>
      <c r="UWK203" s="605"/>
      <c r="UWL203" s="605"/>
      <c r="UWM203" s="605"/>
      <c r="UWN203" s="605"/>
      <c r="UWO203" s="605"/>
      <c r="UWP203" s="605"/>
      <c r="UWQ203" s="605"/>
      <c r="UWR203" s="605"/>
      <c r="UWS203" s="605"/>
      <c r="UWT203" s="605"/>
      <c r="UWU203" s="605"/>
      <c r="UWV203" s="605"/>
      <c r="UWW203" s="605"/>
      <c r="UWX203" s="605"/>
      <c r="UWY203" s="605"/>
      <c r="UWZ203" s="605"/>
      <c r="UXA203" s="605"/>
      <c r="UXB203" s="605"/>
      <c r="UXC203" s="605"/>
      <c r="UXD203" s="605"/>
      <c r="UXE203" s="605"/>
      <c r="UXF203" s="605"/>
      <c r="UXG203" s="605"/>
      <c r="UXH203" s="605"/>
      <c r="UXI203" s="605"/>
      <c r="UXJ203" s="605"/>
      <c r="UXK203" s="605"/>
      <c r="UXL203" s="605"/>
      <c r="UXM203" s="605"/>
      <c r="UXN203" s="605"/>
      <c r="UXO203" s="605"/>
      <c r="UXP203" s="605"/>
      <c r="UXQ203" s="605"/>
      <c r="UXR203" s="605"/>
      <c r="UXS203" s="605"/>
      <c r="UXT203" s="605"/>
      <c r="UXU203" s="605"/>
      <c r="UXV203" s="605"/>
      <c r="UXW203" s="605"/>
      <c r="UXX203" s="605"/>
      <c r="UXY203" s="605"/>
      <c r="UXZ203" s="605"/>
      <c r="UYA203" s="605"/>
      <c r="UYB203" s="605"/>
      <c r="UYC203" s="605"/>
      <c r="UYD203" s="605"/>
      <c r="UYE203" s="605"/>
      <c r="UYF203" s="605"/>
      <c r="UYG203" s="605"/>
      <c r="UYH203" s="605"/>
      <c r="UYI203" s="605"/>
      <c r="UYJ203" s="605"/>
      <c r="UYK203" s="605"/>
      <c r="UYL203" s="605"/>
      <c r="UYM203" s="605"/>
      <c r="UYN203" s="605"/>
      <c r="UYO203" s="605"/>
      <c r="UYP203" s="605"/>
      <c r="UYQ203" s="605"/>
      <c r="UYR203" s="605"/>
      <c r="UYS203" s="605"/>
      <c r="UYT203" s="605"/>
      <c r="UYU203" s="605"/>
      <c r="UYV203" s="605"/>
      <c r="UYW203" s="605"/>
      <c r="UYX203" s="605"/>
      <c r="UYY203" s="605"/>
      <c r="UYZ203" s="605"/>
      <c r="UZA203" s="605"/>
      <c r="UZB203" s="605"/>
      <c r="UZC203" s="605"/>
      <c r="UZD203" s="605"/>
      <c r="UZE203" s="605"/>
      <c r="UZF203" s="605"/>
      <c r="UZG203" s="605"/>
      <c r="UZH203" s="605"/>
      <c r="UZI203" s="605"/>
      <c r="UZJ203" s="605"/>
      <c r="UZK203" s="605"/>
      <c r="UZL203" s="605"/>
      <c r="UZM203" s="605"/>
      <c r="UZN203" s="605"/>
      <c r="UZO203" s="605"/>
      <c r="UZP203" s="605"/>
      <c r="UZQ203" s="605"/>
      <c r="UZR203" s="605"/>
      <c r="UZS203" s="605"/>
      <c r="UZT203" s="605"/>
      <c r="UZU203" s="605"/>
      <c r="UZV203" s="605"/>
      <c r="UZW203" s="605"/>
      <c r="UZX203" s="605"/>
      <c r="UZY203" s="605"/>
      <c r="UZZ203" s="605"/>
      <c r="VAA203" s="605"/>
      <c r="VAB203" s="605"/>
      <c r="VAC203" s="605"/>
      <c r="VAD203" s="605"/>
      <c r="VAE203" s="605"/>
      <c r="VAF203" s="605"/>
      <c r="VAG203" s="605"/>
      <c r="VAH203" s="605"/>
      <c r="VAI203" s="605"/>
      <c r="VAJ203" s="605"/>
      <c r="VAK203" s="605"/>
      <c r="VAL203" s="605"/>
      <c r="VAM203" s="605"/>
      <c r="VAN203" s="605"/>
      <c r="VAO203" s="605"/>
      <c r="VAP203" s="605"/>
      <c r="VAQ203" s="605"/>
      <c r="VAR203" s="605"/>
      <c r="VAS203" s="605"/>
      <c r="VAT203" s="605"/>
      <c r="VAU203" s="605"/>
      <c r="VAV203" s="605"/>
      <c r="VAW203" s="605"/>
      <c r="VAX203" s="605"/>
      <c r="VAY203" s="605"/>
      <c r="VAZ203" s="605"/>
      <c r="VBA203" s="605"/>
      <c r="VBB203" s="605"/>
      <c r="VBC203" s="605"/>
      <c r="VBD203" s="605"/>
      <c r="VBE203" s="605"/>
      <c r="VBF203" s="605"/>
      <c r="VBG203" s="605"/>
      <c r="VBH203" s="605"/>
      <c r="VBI203" s="605"/>
      <c r="VBJ203" s="605"/>
      <c r="VBK203" s="605"/>
      <c r="VBL203" s="605"/>
      <c r="VBM203" s="605"/>
      <c r="VBN203" s="605"/>
      <c r="VBO203" s="605"/>
      <c r="VBP203" s="605"/>
      <c r="VBQ203" s="605"/>
      <c r="VBR203" s="605"/>
      <c r="VBS203" s="605"/>
      <c r="VBT203" s="605"/>
      <c r="VBU203" s="605"/>
      <c r="VBV203" s="605"/>
      <c r="VBW203" s="605"/>
      <c r="VBX203" s="605"/>
      <c r="VBY203" s="605"/>
      <c r="VBZ203" s="605"/>
      <c r="VCA203" s="605"/>
      <c r="VCB203" s="605"/>
      <c r="VCC203" s="605"/>
      <c r="VCD203" s="605"/>
      <c r="VCE203" s="605"/>
      <c r="VCF203" s="605"/>
      <c r="VCG203" s="605"/>
      <c r="VCH203" s="605"/>
      <c r="VCI203" s="605"/>
      <c r="VCJ203" s="605"/>
      <c r="VCK203" s="605"/>
      <c r="VCL203" s="605"/>
      <c r="VCM203" s="605"/>
      <c r="VCN203" s="605"/>
      <c r="VCO203" s="605"/>
      <c r="VCP203" s="605"/>
      <c r="VCQ203" s="605"/>
      <c r="VCR203" s="605"/>
      <c r="VCS203" s="605"/>
      <c r="VCT203" s="605"/>
      <c r="VCU203" s="605"/>
      <c r="VCV203" s="605"/>
      <c r="VCW203" s="605"/>
      <c r="VCX203" s="605"/>
      <c r="VCY203" s="605"/>
      <c r="VCZ203" s="605"/>
      <c r="VDA203" s="605"/>
      <c r="VDB203" s="605"/>
      <c r="VDC203" s="605"/>
      <c r="VDD203" s="605"/>
      <c r="VDE203" s="605"/>
      <c r="VDF203" s="605"/>
      <c r="VDG203" s="605"/>
      <c r="VDH203" s="605"/>
      <c r="VDI203" s="605"/>
      <c r="VDJ203" s="605"/>
      <c r="VDK203" s="605"/>
      <c r="VDL203" s="605"/>
      <c r="VDM203" s="605"/>
      <c r="VDN203" s="605"/>
      <c r="VDO203" s="605"/>
      <c r="VDP203" s="605"/>
      <c r="VDQ203" s="605"/>
      <c r="VDR203" s="605"/>
      <c r="VDS203" s="605"/>
      <c r="VDT203" s="605"/>
      <c r="VDU203" s="605"/>
      <c r="VDV203" s="605"/>
      <c r="VDW203" s="605"/>
      <c r="VDX203" s="605"/>
      <c r="VDY203" s="605"/>
      <c r="VDZ203" s="605"/>
      <c r="VEA203" s="605"/>
      <c r="VEB203" s="605"/>
      <c r="VEC203" s="605"/>
      <c r="VED203" s="605"/>
      <c r="VEE203" s="605"/>
      <c r="VEF203" s="605"/>
      <c r="VEG203" s="605"/>
      <c r="VEH203" s="605"/>
      <c r="VEI203" s="605"/>
      <c r="VEJ203" s="605"/>
      <c r="VEK203" s="605"/>
      <c r="VEL203" s="605"/>
      <c r="VEM203" s="605"/>
      <c r="VEN203" s="605"/>
      <c r="VEO203" s="605"/>
      <c r="VEP203" s="605"/>
      <c r="VEQ203" s="605"/>
      <c r="VER203" s="605"/>
      <c r="VES203" s="605"/>
      <c r="VET203" s="605"/>
      <c r="VEU203" s="605"/>
      <c r="VEV203" s="605"/>
      <c r="VEW203" s="605"/>
      <c r="VEX203" s="605"/>
      <c r="VEY203" s="605"/>
      <c r="VEZ203" s="605"/>
      <c r="VFA203" s="605"/>
      <c r="VFB203" s="605"/>
      <c r="VFC203" s="605"/>
      <c r="VFD203" s="605"/>
      <c r="VFE203" s="605"/>
      <c r="VFF203" s="605"/>
      <c r="VFG203" s="605"/>
      <c r="VFH203" s="605"/>
      <c r="VFI203" s="605"/>
      <c r="VFJ203" s="605"/>
      <c r="VFK203" s="605"/>
      <c r="VFL203" s="605"/>
      <c r="VFM203" s="605"/>
      <c r="VFN203" s="605"/>
      <c r="VFO203" s="605"/>
      <c r="VFP203" s="605"/>
      <c r="VFQ203" s="605"/>
      <c r="VFR203" s="605"/>
      <c r="VFS203" s="605"/>
      <c r="VFT203" s="605"/>
      <c r="VFU203" s="605"/>
      <c r="VFV203" s="605"/>
      <c r="VFW203" s="605"/>
      <c r="VFX203" s="605"/>
      <c r="VFY203" s="605"/>
      <c r="VFZ203" s="605"/>
      <c r="VGA203" s="605"/>
      <c r="VGB203" s="605"/>
      <c r="VGC203" s="605"/>
      <c r="VGD203" s="605"/>
      <c r="VGE203" s="605"/>
      <c r="VGF203" s="605"/>
      <c r="VGG203" s="605"/>
      <c r="VGH203" s="605"/>
      <c r="VGI203" s="605"/>
      <c r="VGJ203" s="605"/>
      <c r="VGK203" s="605"/>
      <c r="VGL203" s="605"/>
      <c r="VGM203" s="605"/>
      <c r="VGN203" s="605"/>
      <c r="VGO203" s="605"/>
      <c r="VGP203" s="605"/>
      <c r="VGQ203" s="605"/>
      <c r="VGR203" s="605"/>
      <c r="VGS203" s="605"/>
      <c r="VGT203" s="605"/>
      <c r="VGU203" s="605"/>
      <c r="VGV203" s="605"/>
      <c r="VGW203" s="605"/>
      <c r="VGX203" s="605"/>
      <c r="VGY203" s="605"/>
      <c r="VGZ203" s="605"/>
      <c r="VHA203" s="605"/>
      <c r="VHB203" s="605"/>
      <c r="VHC203" s="605"/>
      <c r="VHD203" s="605"/>
      <c r="VHE203" s="605"/>
      <c r="VHF203" s="605"/>
      <c r="VHG203" s="605"/>
      <c r="VHH203" s="605"/>
      <c r="VHI203" s="605"/>
      <c r="VHJ203" s="605"/>
      <c r="VHK203" s="605"/>
      <c r="VHL203" s="605"/>
      <c r="VHM203" s="605"/>
      <c r="VHN203" s="605"/>
      <c r="VHO203" s="605"/>
      <c r="VHP203" s="605"/>
      <c r="VHQ203" s="605"/>
      <c r="VHR203" s="605"/>
      <c r="VHS203" s="605"/>
      <c r="VHT203" s="605"/>
      <c r="VHU203" s="605"/>
      <c r="VHV203" s="605"/>
      <c r="VHW203" s="605"/>
      <c r="VHX203" s="605"/>
      <c r="VHY203" s="605"/>
      <c r="VHZ203" s="605"/>
      <c r="VIA203" s="605"/>
      <c r="VIB203" s="605"/>
      <c r="VIC203" s="605"/>
      <c r="VID203" s="605"/>
      <c r="VIE203" s="605"/>
      <c r="VIF203" s="605"/>
      <c r="VIG203" s="605"/>
      <c r="VIH203" s="605"/>
      <c r="VII203" s="605"/>
      <c r="VIJ203" s="605"/>
      <c r="VIK203" s="605"/>
      <c r="VIL203" s="605"/>
      <c r="VIM203" s="605"/>
      <c r="VIN203" s="605"/>
      <c r="VIO203" s="605"/>
      <c r="VIP203" s="605"/>
      <c r="VIQ203" s="605"/>
      <c r="VIR203" s="605"/>
      <c r="VIS203" s="605"/>
      <c r="VIT203" s="605"/>
      <c r="VIU203" s="605"/>
      <c r="VIV203" s="605"/>
      <c r="VIW203" s="605"/>
      <c r="VIX203" s="605"/>
      <c r="VIY203" s="605"/>
      <c r="VIZ203" s="605"/>
      <c r="VJA203" s="605"/>
      <c r="VJB203" s="605"/>
      <c r="VJC203" s="605"/>
      <c r="VJD203" s="605"/>
      <c r="VJE203" s="605"/>
      <c r="VJF203" s="605"/>
      <c r="VJG203" s="605"/>
      <c r="VJH203" s="605"/>
      <c r="VJI203" s="605"/>
      <c r="VJJ203" s="605"/>
      <c r="VJK203" s="605"/>
      <c r="VJL203" s="605"/>
      <c r="VJM203" s="605"/>
      <c r="VJN203" s="605"/>
      <c r="VJO203" s="605"/>
      <c r="VJP203" s="605"/>
      <c r="VJQ203" s="605"/>
      <c r="VJR203" s="605"/>
      <c r="VJS203" s="605"/>
      <c r="VJT203" s="605"/>
      <c r="VJU203" s="605"/>
      <c r="VJV203" s="605"/>
      <c r="VJW203" s="605"/>
      <c r="VJX203" s="605"/>
      <c r="VJY203" s="605"/>
      <c r="VJZ203" s="605"/>
      <c r="VKA203" s="605"/>
      <c r="VKB203" s="605"/>
      <c r="VKC203" s="605"/>
      <c r="VKD203" s="605"/>
      <c r="VKE203" s="605"/>
      <c r="VKF203" s="605"/>
      <c r="VKG203" s="605"/>
      <c r="VKH203" s="605"/>
      <c r="VKI203" s="605"/>
      <c r="VKJ203" s="605"/>
      <c r="VKK203" s="605"/>
      <c r="VKL203" s="605"/>
      <c r="VKM203" s="605"/>
      <c r="VKN203" s="605"/>
      <c r="VKO203" s="605"/>
      <c r="VKP203" s="605"/>
      <c r="VKQ203" s="605"/>
      <c r="VKR203" s="605"/>
      <c r="VKS203" s="605"/>
      <c r="VKT203" s="605"/>
      <c r="VKU203" s="605"/>
      <c r="VKV203" s="605"/>
      <c r="VKW203" s="605"/>
      <c r="VKX203" s="605"/>
      <c r="VKY203" s="605"/>
      <c r="VKZ203" s="605"/>
      <c r="VLA203" s="605"/>
      <c r="VLB203" s="605"/>
      <c r="VLC203" s="605"/>
      <c r="VLD203" s="605"/>
      <c r="VLE203" s="605"/>
      <c r="VLF203" s="605"/>
      <c r="VLG203" s="605"/>
      <c r="VLH203" s="605"/>
      <c r="VLI203" s="605"/>
      <c r="VLJ203" s="605"/>
      <c r="VLK203" s="605"/>
      <c r="VLL203" s="605"/>
      <c r="VLM203" s="605"/>
      <c r="VLN203" s="605"/>
      <c r="VLO203" s="605"/>
      <c r="VLP203" s="605"/>
      <c r="VLQ203" s="605"/>
      <c r="VLR203" s="605"/>
      <c r="VLS203" s="605"/>
      <c r="VLT203" s="605"/>
      <c r="VLU203" s="605"/>
      <c r="VLV203" s="605"/>
      <c r="VLW203" s="605"/>
      <c r="VLX203" s="605"/>
      <c r="VLY203" s="605"/>
      <c r="VLZ203" s="605"/>
      <c r="VMA203" s="605"/>
      <c r="VMB203" s="605"/>
      <c r="VMC203" s="605"/>
      <c r="VMD203" s="605"/>
      <c r="VME203" s="605"/>
      <c r="VMF203" s="605"/>
      <c r="VMG203" s="605"/>
      <c r="VMH203" s="605"/>
      <c r="VMI203" s="605"/>
      <c r="VMJ203" s="605"/>
      <c r="VMK203" s="605"/>
      <c r="VML203" s="605"/>
      <c r="VMM203" s="605"/>
      <c r="VMN203" s="605"/>
      <c r="VMO203" s="605"/>
      <c r="VMP203" s="605"/>
      <c r="VMQ203" s="605"/>
      <c r="VMR203" s="605"/>
      <c r="VMS203" s="605"/>
      <c r="VMT203" s="605"/>
      <c r="VMU203" s="605"/>
      <c r="VMV203" s="605"/>
      <c r="VMW203" s="605"/>
      <c r="VMX203" s="605"/>
      <c r="VMY203" s="605"/>
      <c r="VMZ203" s="605"/>
      <c r="VNA203" s="605"/>
      <c r="VNB203" s="605"/>
      <c r="VNC203" s="605"/>
      <c r="VND203" s="605"/>
      <c r="VNE203" s="605"/>
      <c r="VNF203" s="605"/>
      <c r="VNG203" s="605"/>
      <c r="VNH203" s="605"/>
      <c r="VNI203" s="605"/>
      <c r="VNJ203" s="605"/>
      <c r="VNK203" s="605"/>
      <c r="VNL203" s="605"/>
      <c r="VNM203" s="605"/>
      <c r="VNN203" s="605"/>
      <c r="VNO203" s="605"/>
      <c r="VNP203" s="605"/>
      <c r="VNQ203" s="605"/>
      <c r="VNR203" s="605"/>
      <c r="VNS203" s="605"/>
      <c r="VNT203" s="605"/>
      <c r="VNU203" s="605"/>
      <c r="VNV203" s="605"/>
      <c r="VNW203" s="605"/>
      <c r="VNX203" s="605"/>
      <c r="VNY203" s="605"/>
      <c r="VNZ203" s="605"/>
      <c r="VOA203" s="605"/>
      <c r="VOB203" s="605"/>
      <c r="VOC203" s="605"/>
      <c r="VOD203" s="605"/>
      <c r="VOE203" s="605"/>
      <c r="VOF203" s="605"/>
      <c r="VOG203" s="605"/>
      <c r="VOH203" s="605"/>
      <c r="VOI203" s="605"/>
      <c r="VOJ203" s="605"/>
      <c r="VOK203" s="605"/>
      <c r="VOL203" s="605"/>
      <c r="VOM203" s="605"/>
      <c r="VON203" s="605"/>
      <c r="VOO203" s="605"/>
      <c r="VOP203" s="605"/>
      <c r="VOQ203" s="605"/>
      <c r="VOR203" s="605"/>
      <c r="VOS203" s="605"/>
      <c r="VOT203" s="605"/>
      <c r="VOU203" s="605"/>
      <c r="VOV203" s="605"/>
      <c r="VOW203" s="605"/>
      <c r="VOX203" s="605"/>
      <c r="VOY203" s="605"/>
      <c r="VOZ203" s="605"/>
      <c r="VPA203" s="605"/>
      <c r="VPB203" s="605"/>
      <c r="VPC203" s="605"/>
      <c r="VPD203" s="605"/>
      <c r="VPE203" s="605"/>
      <c r="VPF203" s="605"/>
      <c r="VPG203" s="605"/>
      <c r="VPH203" s="605"/>
      <c r="VPI203" s="605"/>
      <c r="VPJ203" s="605"/>
      <c r="VPK203" s="605"/>
      <c r="VPL203" s="605"/>
      <c r="VPM203" s="605"/>
      <c r="VPN203" s="605"/>
      <c r="VPO203" s="605"/>
      <c r="VPP203" s="605"/>
      <c r="VPQ203" s="605"/>
      <c r="VPR203" s="605"/>
      <c r="VPS203" s="605"/>
      <c r="VPT203" s="605"/>
      <c r="VPU203" s="605"/>
      <c r="VPV203" s="605"/>
      <c r="VPW203" s="605"/>
      <c r="VPX203" s="605"/>
      <c r="VPY203" s="605"/>
      <c r="VPZ203" s="605"/>
      <c r="VQA203" s="605"/>
      <c r="VQB203" s="605"/>
      <c r="VQC203" s="605"/>
      <c r="VQD203" s="605"/>
      <c r="VQE203" s="605"/>
      <c r="VQF203" s="605"/>
      <c r="VQG203" s="605"/>
      <c r="VQH203" s="605"/>
      <c r="VQI203" s="605"/>
      <c r="VQJ203" s="605"/>
      <c r="VQK203" s="605"/>
      <c r="VQL203" s="605"/>
      <c r="VQM203" s="605"/>
      <c r="VQN203" s="605"/>
      <c r="VQO203" s="605"/>
      <c r="VQP203" s="605"/>
      <c r="VQQ203" s="605"/>
      <c r="VQR203" s="605"/>
      <c r="VQS203" s="605"/>
      <c r="VQT203" s="605"/>
      <c r="VQU203" s="605"/>
      <c r="VQV203" s="605"/>
      <c r="VQW203" s="605"/>
      <c r="VQX203" s="605"/>
      <c r="VQY203" s="605"/>
      <c r="VQZ203" s="605"/>
      <c r="VRA203" s="605"/>
      <c r="VRB203" s="605"/>
      <c r="VRC203" s="605"/>
      <c r="VRD203" s="605"/>
      <c r="VRE203" s="605"/>
      <c r="VRF203" s="605"/>
      <c r="VRG203" s="605"/>
      <c r="VRH203" s="605"/>
      <c r="VRI203" s="605"/>
      <c r="VRJ203" s="605"/>
      <c r="VRK203" s="605"/>
      <c r="VRL203" s="605"/>
      <c r="VRM203" s="605"/>
      <c r="VRN203" s="605"/>
      <c r="VRO203" s="605"/>
      <c r="VRP203" s="605"/>
      <c r="VRQ203" s="605"/>
      <c r="VRR203" s="605"/>
      <c r="VRS203" s="605"/>
      <c r="VRT203" s="605"/>
      <c r="VRU203" s="605"/>
      <c r="VRV203" s="605"/>
      <c r="VRW203" s="605"/>
      <c r="VRX203" s="605"/>
      <c r="VRY203" s="605"/>
      <c r="VRZ203" s="605"/>
      <c r="VSA203" s="605"/>
      <c r="VSB203" s="605"/>
      <c r="VSC203" s="605"/>
      <c r="VSD203" s="605"/>
      <c r="VSE203" s="605"/>
      <c r="VSF203" s="605"/>
      <c r="VSG203" s="605"/>
      <c r="VSH203" s="605"/>
      <c r="VSI203" s="605"/>
      <c r="VSJ203" s="605"/>
      <c r="VSK203" s="605"/>
      <c r="VSL203" s="605"/>
      <c r="VSM203" s="605"/>
      <c r="VSN203" s="605"/>
      <c r="VSO203" s="605"/>
      <c r="VSP203" s="605"/>
      <c r="VSQ203" s="605"/>
      <c r="VSR203" s="605"/>
      <c r="VSS203" s="605"/>
      <c r="VST203" s="605"/>
      <c r="VSU203" s="605"/>
      <c r="VSV203" s="605"/>
      <c r="VSW203" s="605"/>
      <c r="VSX203" s="605"/>
      <c r="VSY203" s="605"/>
      <c r="VSZ203" s="605"/>
      <c r="VTA203" s="605"/>
      <c r="VTB203" s="605"/>
      <c r="VTC203" s="605"/>
      <c r="VTD203" s="605"/>
      <c r="VTE203" s="605"/>
      <c r="VTF203" s="605"/>
      <c r="VTG203" s="605"/>
      <c r="VTH203" s="605"/>
      <c r="VTI203" s="605"/>
      <c r="VTJ203" s="605"/>
      <c r="VTK203" s="605"/>
      <c r="VTL203" s="605"/>
      <c r="VTM203" s="605"/>
      <c r="VTN203" s="605"/>
      <c r="VTO203" s="605"/>
      <c r="VTP203" s="605"/>
      <c r="VTQ203" s="605"/>
      <c r="VTR203" s="605"/>
      <c r="VTS203" s="605"/>
      <c r="VTT203" s="605"/>
      <c r="VTU203" s="605"/>
      <c r="VTV203" s="605"/>
      <c r="VTW203" s="605"/>
      <c r="VTX203" s="605"/>
      <c r="VTY203" s="605"/>
      <c r="VTZ203" s="605"/>
      <c r="VUA203" s="605"/>
      <c r="VUB203" s="605"/>
      <c r="VUC203" s="605"/>
      <c r="VUD203" s="605"/>
      <c r="VUE203" s="605"/>
      <c r="VUF203" s="605"/>
      <c r="VUG203" s="605"/>
      <c r="VUH203" s="605"/>
      <c r="VUI203" s="605"/>
      <c r="VUJ203" s="605"/>
      <c r="VUK203" s="605"/>
      <c r="VUL203" s="605"/>
      <c r="VUM203" s="605"/>
      <c r="VUN203" s="605"/>
      <c r="VUO203" s="605"/>
      <c r="VUP203" s="605"/>
      <c r="VUQ203" s="605"/>
      <c r="VUR203" s="605"/>
      <c r="VUS203" s="605"/>
      <c r="VUT203" s="605"/>
      <c r="VUU203" s="605"/>
      <c r="VUV203" s="605"/>
      <c r="VUW203" s="605"/>
      <c r="VUX203" s="605"/>
      <c r="VUY203" s="605"/>
      <c r="VUZ203" s="605"/>
      <c r="VVA203" s="605"/>
      <c r="VVB203" s="605"/>
      <c r="VVC203" s="605"/>
      <c r="VVD203" s="605"/>
      <c r="VVE203" s="605"/>
      <c r="VVF203" s="605"/>
      <c r="VVG203" s="605"/>
      <c r="VVH203" s="605"/>
      <c r="VVI203" s="605"/>
      <c r="VVJ203" s="605"/>
      <c r="VVK203" s="605"/>
      <c r="VVL203" s="605"/>
      <c r="VVM203" s="605"/>
      <c r="VVN203" s="605"/>
      <c r="VVO203" s="605"/>
      <c r="VVP203" s="605"/>
      <c r="VVQ203" s="605"/>
      <c r="VVR203" s="605"/>
      <c r="VVS203" s="605"/>
      <c r="VVT203" s="605"/>
      <c r="VVU203" s="605"/>
      <c r="VVV203" s="605"/>
      <c r="VVW203" s="605"/>
      <c r="VVX203" s="605"/>
      <c r="VVY203" s="605"/>
      <c r="VVZ203" s="605"/>
      <c r="VWA203" s="605"/>
      <c r="VWB203" s="605"/>
      <c r="VWC203" s="605"/>
      <c r="VWD203" s="605"/>
      <c r="VWE203" s="605"/>
      <c r="VWF203" s="605"/>
      <c r="VWG203" s="605"/>
      <c r="VWH203" s="605"/>
      <c r="VWI203" s="605"/>
      <c r="VWJ203" s="605"/>
      <c r="VWK203" s="605"/>
      <c r="VWL203" s="605"/>
      <c r="VWM203" s="605"/>
      <c r="VWN203" s="605"/>
      <c r="VWO203" s="605"/>
      <c r="VWP203" s="605"/>
      <c r="VWQ203" s="605"/>
      <c r="VWR203" s="605"/>
      <c r="VWS203" s="605"/>
      <c r="VWT203" s="605"/>
      <c r="VWU203" s="605"/>
      <c r="VWV203" s="605"/>
      <c r="VWW203" s="605"/>
      <c r="VWX203" s="605"/>
      <c r="VWY203" s="605"/>
      <c r="VWZ203" s="605"/>
      <c r="VXA203" s="605"/>
      <c r="VXB203" s="605"/>
      <c r="VXC203" s="605"/>
      <c r="VXD203" s="605"/>
      <c r="VXE203" s="605"/>
      <c r="VXF203" s="605"/>
      <c r="VXG203" s="605"/>
      <c r="VXH203" s="605"/>
      <c r="VXI203" s="605"/>
      <c r="VXJ203" s="605"/>
      <c r="VXK203" s="605"/>
      <c r="VXL203" s="605"/>
      <c r="VXM203" s="605"/>
      <c r="VXN203" s="605"/>
      <c r="VXO203" s="605"/>
      <c r="VXP203" s="605"/>
      <c r="VXQ203" s="605"/>
      <c r="VXR203" s="605"/>
      <c r="VXS203" s="605"/>
      <c r="VXT203" s="605"/>
      <c r="VXU203" s="605"/>
      <c r="VXV203" s="605"/>
      <c r="VXW203" s="605"/>
      <c r="VXX203" s="605"/>
      <c r="VXY203" s="605"/>
      <c r="VXZ203" s="605"/>
      <c r="VYA203" s="605"/>
      <c r="VYB203" s="605"/>
      <c r="VYC203" s="605"/>
      <c r="VYD203" s="605"/>
      <c r="VYE203" s="605"/>
      <c r="VYF203" s="605"/>
      <c r="VYG203" s="605"/>
      <c r="VYH203" s="605"/>
      <c r="VYI203" s="605"/>
      <c r="VYJ203" s="605"/>
      <c r="VYK203" s="605"/>
      <c r="VYL203" s="605"/>
      <c r="VYM203" s="605"/>
      <c r="VYN203" s="605"/>
      <c r="VYO203" s="605"/>
      <c r="VYP203" s="605"/>
      <c r="VYQ203" s="605"/>
      <c r="VYR203" s="605"/>
      <c r="VYS203" s="605"/>
      <c r="VYT203" s="605"/>
      <c r="VYU203" s="605"/>
      <c r="VYV203" s="605"/>
      <c r="VYW203" s="605"/>
      <c r="VYX203" s="605"/>
      <c r="VYY203" s="605"/>
      <c r="VYZ203" s="605"/>
      <c r="VZA203" s="605"/>
      <c r="VZB203" s="605"/>
      <c r="VZC203" s="605"/>
      <c r="VZD203" s="605"/>
      <c r="VZE203" s="605"/>
      <c r="VZF203" s="605"/>
      <c r="VZG203" s="605"/>
      <c r="VZH203" s="605"/>
      <c r="VZI203" s="605"/>
      <c r="VZJ203" s="605"/>
      <c r="VZK203" s="605"/>
      <c r="VZL203" s="605"/>
      <c r="VZM203" s="605"/>
      <c r="VZN203" s="605"/>
      <c r="VZO203" s="605"/>
      <c r="VZP203" s="605"/>
      <c r="VZQ203" s="605"/>
      <c r="VZR203" s="605"/>
      <c r="VZS203" s="605"/>
      <c r="VZT203" s="605"/>
      <c r="VZU203" s="605"/>
      <c r="VZV203" s="605"/>
      <c r="VZW203" s="605"/>
      <c r="VZX203" s="605"/>
      <c r="VZY203" s="605"/>
      <c r="VZZ203" s="605"/>
      <c r="WAA203" s="605"/>
      <c r="WAB203" s="605"/>
      <c r="WAC203" s="605"/>
      <c r="WAD203" s="605"/>
      <c r="WAE203" s="605"/>
      <c r="WAF203" s="605"/>
      <c r="WAG203" s="605"/>
      <c r="WAH203" s="605"/>
      <c r="WAI203" s="605"/>
      <c r="WAJ203" s="605"/>
      <c r="WAK203" s="605"/>
      <c r="WAL203" s="605"/>
      <c r="WAM203" s="605"/>
      <c r="WAN203" s="605"/>
      <c r="WAO203" s="605"/>
      <c r="WAP203" s="605"/>
      <c r="WAQ203" s="605"/>
      <c r="WAR203" s="605"/>
      <c r="WAS203" s="605"/>
      <c r="WAT203" s="605"/>
      <c r="WAU203" s="605"/>
      <c r="WAV203" s="605"/>
      <c r="WAW203" s="605"/>
      <c r="WAX203" s="605"/>
      <c r="WAY203" s="605"/>
      <c r="WAZ203" s="605"/>
      <c r="WBA203" s="605"/>
      <c r="WBB203" s="605"/>
      <c r="WBC203" s="605"/>
      <c r="WBD203" s="605"/>
      <c r="WBE203" s="605"/>
      <c r="WBF203" s="605"/>
      <c r="WBG203" s="605"/>
      <c r="WBH203" s="605"/>
      <c r="WBI203" s="605"/>
      <c r="WBJ203" s="605"/>
      <c r="WBK203" s="605"/>
      <c r="WBL203" s="605"/>
      <c r="WBM203" s="605"/>
      <c r="WBN203" s="605"/>
      <c r="WBO203" s="605"/>
      <c r="WBP203" s="605"/>
      <c r="WBQ203" s="605"/>
      <c r="WBR203" s="605"/>
      <c r="WBS203" s="605"/>
      <c r="WBT203" s="605"/>
      <c r="WBU203" s="605"/>
      <c r="WBV203" s="605"/>
      <c r="WBW203" s="605"/>
      <c r="WBX203" s="605"/>
      <c r="WBY203" s="605"/>
      <c r="WBZ203" s="605"/>
      <c r="WCA203" s="605"/>
      <c r="WCB203" s="605"/>
      <c r="WCC203" s="605"/>
      <c r="WCD203" s="605"/>
      <c r="WCE203" s="605"/>
      <c r="WCF203" s="605"/>
      <c r="WCG203" s="605"/>
      <c r="WCH203" s="605"/>
      <c r="WCI203" s="605"/>
      <c r="WCJ203" s="605"/>
      <c r="WCK203" s="605"/>
      <c r="WCL203" s="605"/>
      <c r="WCM203" s="605"/>
      <c r="WCN203" s="605"/>
      <c r="WCO203" s="605"/>
      <c r="WCP203" s="605"/>
      <c r="WCQ203" s="605"/>
      <c r="WCR203" s="605"/>
      <c r="WCS203" s="605"/>
      <c r="WCT203" s="605"/>
      <c r="WCU203" s="605"/>
      <c r="WCV203" s="605"/>
      <c r="WCW203" s="605"/>
      <c r="WCX203" s="605"/>
      <c r="WCY203" s="605"/>
      <c r="WCZ203" s="605"/>
      <c r="WDA203" s="605"/>
      <c r="WDB203" s="605"/>
      <c r="WDC203" s="605"/>
      <c r="WDD203" s="605"/>
      <c r="WDE203" s="605"/>
      <c r="WDF203" s="605"/>
      <c r="WDG203" s="605"/>
      <c r="WDH203" s="605"/>
      <c r="WDI203" s="605"/>
      <c r="WDJ203" s="605"/>
      <c r="WDK203" s="605"/>
      <c r="WDL203" s="605"/>
      <c r="WDM203" s="605"/>
      <c r="WDN203" s="605"/>
      <c r="WDO203" s="605"/>
      <c r="WDP203" s="605"/>
      <c r="WDQ203" s="605"/>
      <c r="WDR203" s="605"/>
      <c r="WDS203" s="605"/>
      <c r="WDT203" s="605"/>
      <c r="WDU203" s="605"/>
      <c r="WDV203" s="605"/>
      <c r="WDW203" s="605"/>
      <c r="WDX203" s="605"/>
      <c r="WDY203" s="605"/>
      <c r="WDZ203" s="605"/>
      <c r="WEA203" s="605"/>
      <c r="WEB203" s="605"/>
      <c r="WEC203" s="605"/>
      <c r="WED203" s="605"/>
      <c r="WEE203" s="605"/>
      <c r="WEF203" s="605"/>
      <c r="WEG203" s="605"/>
      <c r="WEH203" s="605"/>
      <c r="WEI203" s="605"/>
      <c r="WEJ203" s="605"/>
      <c r="WEK203" s="605"/>
      <c r="WEL203" s="605"/>
      <c r="WEM203" s="605"/>
      <c r="WEN203" s="605"/>
      <c r="WEO203" s="605"/>
      <c r="WEP203" s="605"/>
      <c r="WEQ203" s="605"/>
      <c r="WER203" s="605"/>
      <c r="WES203" s="605"/>
      <c r="WET203" s="605"/>
      <c r="WEU203" s="605"/>
      <c r="WEV203" s="605"/>
      <c r="WEW203" s="605"/>
      <c r="WEX203" s="605"/>
      <c r="WEY203" s="605"/>
      <c r="WEZ203" s="605"/>
      <c r="WFA203" s="605"/>
      <c r="WFB203" s="605"/>
      <c r="WFC203" s="605"/>
      <c r="WFD203" s="605"/>
      <c r="WFE203" s="605"/>
      <c r="WFF203" s="605"/>
      <c r="WFG203" s="605"/>
      <c r="WFH203" s="605"/>
      <c r="WFI203" s="605"/>
      <c r="WFJ203" s="605"/>
      <c r="WFK203" s="605"/>
      <c r="WFL203" s="605"/>
      <c r="WFM203" s="605"/>
      <c r="WFN203" s="605"/>
      <c r="WFO203" s="605"/>
      <c r="WFP203" s="605"/>
      <c r="WFQ203" s="605"/>
      <c r="WFR203" s="605"/>
      <c r="WFS203" s="605"/>
      <c r="WFT203" s="605"/>
      <c r="WFU203" s="605"/>
      <c r="WFV203" s="605"/>
      <c r="WFW203" s="605"/>
      <c r="WFX203" s="605"/>
      <c r="WFY203" s="605"/>
      <c r="WFZ203" s="605"/>
      <c r="WGA203" s="605"/>
      <c r="WGB203" s="605"/>
      <c r="WGC203" s="605"/>
      <c r="WGD203" s="605"/>
      <c r="WGE203" s="605"/>
      <c r="WGF203" s="605"/>
      <c r="WGG203" s="605"/>
      <c r="WGH203" s="605"/>
      <c r="WGI203" s="605"/>
      <c r="WGJ203" s="605"/>
      <c r="WGK203" s="605"/>
      <c r="WGL203" s="605"/>
      <c r="WGM203" s="605"/>
      <c r="WGN203" s="605"/>
      <c r="WGO203" s="605"/>
      <c r="WGP203" s="605"/>
      <c r="WGQ203" s="605"/>
      <c r="WGR203" s="605"/>
      <c r="WGS203" s="605"/>
      <c r="WGT203" s="605"/>
      <c r="WGU203" s="605"/>
      <c r="WGV203" s="605"/>
      <c r="WGW203" s="605"/>
      <c r="WGX203" s="605"/>
      <c r="WGY203" s="605"/>
      <c r="WGZ203" s="605"/>
      <c r="WHA203" s="605"/>
      <c r="WHB203" s="605"/>
      <c r="WHC203" s="605"/>
      <c r="WHD203" s="605"/>
      <c r="WHE203" s="605"/>
      <c r="WHF203" s="605"/>
      <c r="WHG203" s="605"/>
      <c r="WHH203" s="605"/>
      <c r="WHI203" s="605"/>
      <c r="WHJ203" s="605"/>
      <c r="WHK203" s="605"/>
      <c r="WHL203" s="605"/>
      <c r="WHM203" s="605"/>
      <c r="WHN203" s="605"/>
      <c r="WHO203" s="605"/>
      <c r="WHP203" s="605"/>
      <c r="WHQ203" s="605"/>
      <c r="WHR203" s="605"/>
      <c r="WHS203" s="605"/>
      <c r="WHT203" s="605"/>
      <c r="WHU203" s="605"/>
      <c r="WHV203" s="605"/>
      <c r="WHW203" s="605"/>
      <c r="WHX203" s="605"/>
      <c r="WHY203" s="605"/>
      <c r="WHZ203" s="605"/>
      <c r="WIA203" s="605"/>
      <c r="WIB203" s="605"/>
      <c r="WIC203" s="605"/>
      <c r="WID203" s="605"/>
      <c r="WIE203" s="605"/>
      <c r="WIF203" s="605"/>
      <c r="WIG203" s="605"/>
      <c r="WIH203" s="605"/>
      <c r="WII203" s="605"/>
      <c r="WIJ203" s="605"/>
      <c r="WIK203" s="605"/>
      <c r="WIL203" s="605"/>
      <c r="WIM203" s="605"/>
      <c r="WIN203" s="605"/>
      <c r="WIO203" s="605"/>
      <c r="WIP203" s="605"/>
      <c r="WIQ203" s="605"/>
      <c r="WIR203" s="605"/>
      <c r="WIS203" s="605"/>
      <c r="WIT203" s="605"/>
      <c r="WIU203" s="605"/>
      <c r="WIV203" s="605"/>
      <c r="WIW203" s="605"/>
      <c r="WIX203" s="605"/>
      <c r="WIY203" s="605"/>
      <c r="WIZ203" s="605"/>
      <c r="WJA203" s="605"/>
      <c r="WJB203" s="605"/>
      <c r="WJC203" s="605"/>
      <c r="WJD203" s="605"/>
      <c r="WJE203" s="605"/>
      <c r="WJF203" s="605"/>
      <c r="WJG203" s="605"/>
      <c r="WJH203" s="605"/>
      <c r="WJI203" s="605"/>
      <c r="WJJ203" s="605"/>
      <c r="WJK203" s="605"/>
      <c r="WJL203" s="605"/>
      <c r="WJM203" s="605"/>
      <c r="WJN203" s="605"/>
      <c r="WJO203" s="605"/>
      <c r="WJP203" s="605"/>
      <c r="WJQ203" s="605"/>
      <c r="WJR203" s="605"/>
      <c r="WJS203" s="605"/>
      <c r="WJT203" s="605"/>
      <c r="WJU203" s="605"/>
      <c r="WJV203" s="605"/>
      <c r="WJW203" s="605"/>
      <c r="WJX203" s="605"/>
      <c r="WJY203" s="605"/>
      <c r="WJZ203" s="605"/>
      <c r="WKA203" s="605"/>
      <c r="WKB203" s="605"/>
      <c r="WKC203" s="605"/>
      <c r="WKD203" s="605"/>
      <c r="WKE203" s="605"/>
      <c r="WKF203" s="605"/>
      <c r="WKG203" s="605"/>
      <c r="WKH203" s="605"/>
      <c r="WKI203" s="605"/>
      <c r="WKJ203" s="605"/>
      <c r="WKK203" s="605"/>
      <c r="WKL203" s="605"/>
      <c r="WKM203" s="605"/>
      <c r="WKN203" s="605"/>
      <c r="WKO203" s="605"/>
      <c r="WKP203" s="605"/>
      <c r="WKQ203" s="605"/>
      <c r="WKR203" s="605"/>
      <c r="WKS203" s="605"/>
      <c r="WKT203" s="605"/>
      <c r="WKU203" s="605"/>
      <c r="WKV203" s="605"/>
      <c r="WKW203" s="605"/>
      <c r="WKX203" s="605"/>
      <c r="WKY203" s="605"/>
      <c r="WKZ203" s="605"/>
      <c r="WLA203" s="605"/>
      <c r="WLB203" s="605"/>
      <c r="WLC203" s="605"/>
      <c r="WLD203" s="605"/>
      <c r="WLE203" s="605"/>
      <c r="WLF203" s="605"/>
      <c r="WLG203" s="605"/>
      <c r="WLH203" s="605"/>
      <c r="WLI203" s="605"/>
      <c r="WLJ203" s="605"/>
      <c r="WLK203" s="605"/>
      <c r="WLL203" s="605"/>
      <c r="WLM203" s="605"/>
      <c r="WLN203" s="605"/>
      <c r="WLO203" s="605"/>
      <c r="WLP203" s="605"/>
      <c r="WLQ203" s="605"/>
      <c r="WLR203" s="605"/>
      <c r="WLS203" s="605"/>
      <c r="WLT203" s="605"/>
      <c r="WLU203" s="605"/>
      <c r="WLV203" s="605"/>
      <c r="WLW203" s="605"/>
      <c r="WLX203" s="605"/>
      <c r="WLY203" s="605"/>
      <c r="WLZ203" s="605"/>
      <c r="WMA203" s="605"/>
      <c r="WMB203" s="605"/>
      <c r="WMC203" s="605"/>
      <c r="WMD203" s="605"/>
      <c r="WME203" s="605"/>
      <c r="WMF203" s="605"/>
      <c r="WMG203" s="605"/>
      <c r="WMH203" s="605"/>
      <c r="WMI203" s="605"/>
      <c r="WMJ203" s="605"/>
      <c r="WMK203" s="605"/>
      <c r="WML203" s="605"/>
      <c r="WMM203" s="605"/>
      <c r="WMN203" s="605"/>
      <c r="WMO203" s="605"/>
      <c r="WMP203" s="605"/>
      <c r="WMQ203" s="605"/>
      <c r="WMR203" s="605"/>
      <c r="WMS203" s="605"/>
      <c r="WMT203" s="605"/>
      <c r="WMU203" s="605"/>
      <c r="WMV203" s="605"/>
      <c r="WMW203" s="605"/>
      <c r="WMX203" s="605"/>
      <c r="WMY203" s="605"/>
      <c r="WMZ203" s="605"/>
      <c r="WNA203" s="605"/>
      <c r="WNB203" s="605"/>
      <c r="WNC203" s="605"/>
      <c r="WND203" s="605"/>
      <c r="WNE203" s="605"/>
      <c r="WNF203" s="605"/>
      <c r="WNG203" s="605"/>
      <c r="WNH203" s="605"/>
      <c r="WNI203" s="605"/>
      <c r="WNJ203" s="605"/>
      <c r="WNK203" s="605"/>
      <c r="WNL203" s="605"/>
      <c r="WNM203" s="605"/>
      <c r="WNN203" s="605"/>
      <c r="WNO203" s="605"/>
      <c r="WNP203" s="605"/>
      <c r="WNQ203" s="605"/>
      <c r="WNR203" s="605"/>
      <c r="WNS203" s="605"/>
      <c r="WNT203" s="605"/>
      <c r="WNU203" s="605"/>
      <c r="WNV203" s="605"/>
      <c r="WNW203" s="605"/>
      <c r="WNX203" s="605"/>
      <c r="WNY203" s="605"/>
      <c r="WNZ203" s="605"/>
      <c r="WOA203" s="605"/>
      <c r="WOB203" s="605"/>
      <c r="WOC203" s="605"/>
      <c r="WOD203" s="605"/>
      <c r="WOE203" s="605"/>
      <c r="WOF203" s="605"/>
      <c r="WOG203" s="605"/>
      <c r="WOH203" s="605"/>
      <c r="WOI203" s="605"/>
      <c r="WOJ203" s="605"/>
      <c r="WOK203" s="605"/>
      <c r="WOL203" s="605"/>
      <c r="WOM203" s="605"/>
      <c r="WON203" s="605"/>
      <c r="WOO203" s="605"/>
      <c r="WOP203" s="605"/>
      <c r="WOQ203" s="605"/>
      <c r="WOR203" s="605"/>
      <c r="WOS203" s="605"/>
      <c r="WOT203" s="605"/>
      <c r="WOU203" s="605"/>
      <c r="WOV203" s="605"/>
      <c r="WOW203" s="605"/>
      <c r="WOX203" s="605"/>
      <c r="WOY203" s="605"/>
      <c r="WOZ203" s="605"/>
      <c r="WPA203" s="605"/>
      <c r="WPB203" s="605"/>
      <c r="WPC203" s="605"/>
      <c r="WPD203" s="605"/>
      <c r="WPE203" s="605"/>
      <c r="WPF203" s="605"/>
      <c r="WPG203" s="605"/>
      <c r="WPH203" s="605"/>
      <c r="WPI203" s="605"/>
      <c r="WPJ203" s="605"/>
      <c r="WPK203" s="605"/>
      <c r="WPL203" s="605"/>
      <c r="WPM203" s="605"/>
      <c r="WPN203" s="605"/>
      <c r="WPO203" s="605"/>
      <c r="WPP203" s="605"/>
      <c r="WPQ203" s="605"/>
      <c r="WPR203" s="605"/>
      <c r="WPS203" s="605"/>
      <c r="WPT203" s="605"/>
      <c r="WPU203" s="605"/>
      <c r="WPV203" s="605"/>
      <c r="WPW203" s="605"/>
      <c r="WPX203" s="605"/>
      <c r="WPY203" s="605"/>
      <c r="WPZ203" s="605"/>
      <c r="WQA203" s="605"/>
      <c r="WQB203" s="605"/>
      <c r="WQC203" s="605"/>
      <c r="WQD203" s="605"/>
      <c r="WQE203" s="605"/>
      <c r="WQF203" s="605"/>
      <c r="WQG203" s="605"/>
      <c r="WQH203" s="605"/>
      <c r="WQI203" s="605"/>
      <c r="WQJ203" s="605"/>
      <c r="WQK203" s="605"/>
      <c r="WQL203" s="605"/>
      <c r="WQM203" s="605"/>
      <c r="WQN203" s="605"/>
      <c r="WQO203" s="605"/>
      <c r="WQP203" s="605"/>
      <c r="WQQ203" s="605"/>
      <c r="WQR203" s="605"/>
      <c r="WQS203" s="605"/>
      <c r="WQT203" s="605"/>
      <c r="WQU203" s="605"/>
      <c r="WQV203" s="605"/>
      <c r="WQW203" s="605"/>
      <c r="WQX203" s="605"/>
      <c r="WQY203" s="605"/>
      <c r="WQZ203" s="605"/>
      <c r="WRA203" s="605"/>
      <c r="WRB203" s="605"/>
      <c r="WRC203" s="605"/>
      <c r="WRD203" s="605"/>
      <c r="WRE203" s="605"/>
      <c r="WRF203" s="605"/>
      <c r="WRG203" s="605"/>
      <c r="WRH203" s="605"/>
      <c r="WRI203" s="605"/>
      <c r="WRJ203" s="605"/>
      <c r="WRK203" s="605"/>
      <c r="WRL203" s="605"/>
      <c r="WRM203" s="605"/>
      <c r="WRN203" s="605"/>
      <c r="WRO203" s="605"/>
      <c r="WRP203" s="605"/>
      <c r="WRQ203" s="605"/>
      <c r="WRR203" s="605"/>
      <c r="WRS203" s="605"/>
      <c r="WRT203" s="605"/>
      <c r="WRU203" s="605"/>
      <c r="WRV203" s="605"/>
      <c r="WRW203" s="605"/>
      <c r="WRX203" s="605"/>
      <c r="WRY203" s="605"/>
      <c r="WRZ203" s="605"/>
      <c r="WSA203" s="605"/>
      <c r="WSB203" s="605"/>
      <c r="WSC203" s="605"/>
      <c r="WSD203" s="605"/>
      <c r="WSE203" s="605"/>
      <c r="WSF203" s="605"/>
      <c r="WSG203" s="605"/>
      <c r="WSH203" s="605"/>
      <c r="WSI203" s="605"/>
      <c r="WSJ203" s="605"/>
      <c r="WSK203" s="605"/>
      <c r="WSL203" s="605"/>
      <c r="WSM203" s="605"/>
      <c r="WSN203" s="605"/>
      <c r="WSO203" s="605"/>
      <c r="WSP203" s="605"/>
      <c r="WSQ203" s="605"/>
      <c r="WSR203" s="605"/>
      <c r="WSS203" s="605"/>
      <c r="WST203" s="605"/>
      <c r="WSU203" s="605"/>
      <c r="WSV203" s="605"/>
      <c r="WSW203" s="605"/>
      <c r="WSX203" s="605"/>
      <c r="WSY203" s="605"/>
      <c r="WSZ203" s="605"/>
      <c r="WTA203" s="605"/>
      <c r="WTB203" s="605"/>
      <c r="WTC203" s="605"/>
      <c r="WTD203" s="605"/>
      <c r="WTE203" s="605"/>
      <c r="WTF203" s="605"/>
      <c r="WTG203" s="605"/>
      <c r="WTH203" s="605"/>
      <c r="WTI203" s="605"/>
      <c r="WTJ203" s="605"/>
      <c r="WTK203" s="605"/>
      <c r="WTL203" s="605"/>
      <c r="WTM203" s="605"/>
      <c r="WTN203" s="605"/>
      <c r="WTO203" s="605"/>
      <c r="WTP203" s="605"/>
      <c r="WTQ203" s="605"/>
      <c r="WTR203" s="605"/>
      <c r="WTS203" s="605"/>
      <c r="WTT203" s="605"/>
      <c r="WTU203" s="605"/>
      <c r="WTV203" s="605"/>
      <c r="WTW203" s="605"/>
      <c r="WTX203" s="605"/>
      <c r="WTY203" s="605"/>
      <c r="WTZ203" s="605"/>
      <c r="WUA203" s="605"/>
      <c r="WUB203" s="605"/>
      <c r="WUC203" s="605"/>
      <c r="WUD203" s="605"/>
      <c r="WUE203" s="605"/>
      <c r="WUF203" s="605"/>
      <c r="WUG203" s="605"/>
      <c r="WUH203" s="605"/>
      <c r="WUI203" s="605"/>
      <c r="WUJ203" s="605"/>
      <c r="WUK203" s="605"/>
      <c r="WUL203" s="605"/>
      <c r="WUM203" s="605"/>
      <c r="WUN203" s="605"/>
      <c r="WUO203" s="605"/>
      <c r="WUP203" s="605"/>
      <c r="WUQ203" s="605"/>
      <c r="WUR203" s="605"/>
      <c r="WUS203" s="605"/>
      <c r="WUT203" s="605"/>
      <c r="WUU203" s="605"/>
      <c r="WUV203" s="605"/>
      <c r="WUW203" s="605"/>
      <c r="WUX203" s="605"/>
      <c r="WUY203" s="605"/>
      <c r="WUZ203" s="605"/>
      <c r="WVA203" s="605"/>
      <c r="WVB203" s="605"/>
      <c r="WVC203" s="605"/>
      <c r="WVD203" s="605"/>
      <c r="WVE203" s="605"/>
      <c r="WVF203" s="605"/>
      <c r="WVG203" s="605"/>
      <c r="WVH203" s="605"/>
      <c r="WVI203" s="605"/>
      <c r="WVJ203" s="605"/>
      <c r="WVK203" s="605"/>
      <c r="WVL203" s="605"/>
      <c r="WVM203" s="605"/>
      <c r="WVN203" s="605"/>
      <c r="WVO203" s="605"/>
    </row>
    <row r="204" spans="1:16135" customFormat="1" x14ac:dyDescent="0.25">
      <c r="A204" s="605"/>
      <c r="B204" s="605"/>
      <c r="C204" s="605"/>
      <c r="D204" s="605"/>
      <c r="E204" s="605"/>
      <c r="F204" s="551"/>
      <c r="G204" s="47"/>
      <c r="I204" s="549"/>
      <c r="BY204" s="605"/>
      <c r="BZ204" s="605"/>
      <c r="CA204" s="605"/>
      <c r="CB204" s="605"/>
      <c r="CC204" s="605"/>
      <c r="CD204" s="605"/>
      <c r="CE204" s="605"/>
      <c r="CF204" s="605"/>
      <c r="CG204" s="605"/>
      <c r="CH204" s="605"/>
      <c r="CI204" s="605"/>
      <c r="CJ204" s="605"/>
      <c r="CK204" s="605"/>
      <c r="CL204" s="605"/>
      <c r="CM204" s="605"/>
      <c r="CN204" s="605"/>
      <c r="CO204" s="605"/>
      <c r="CP204" s="605"/>
      <c r="CQ204" s="605"/>
      <c r="CR204" s="605"/>
      <c r="CS204" s="605"/>
      <c r="CT204" s="605"/>
      <c r="CU204" s="605"/>
      <c r="CV204" s="605"/>
      <c r="CW204" s="605"/>
      <c r="CX204" s="605"/>
      <c r="CY204" s="605"/>
      <c r="CZ204" s="605"/>
      <c r="DA204" s="605"/>
      <c r="DB204" s="605"/>
      <c r="DC204" s="605"/>
      <c r="DD204" s="605"/>
      <c r="DE204" s="605"/>
      <c r="DF204" s="605"/>
      <c r="DG204" s="605"/>
      <c r="DH204" s="605"/>
      <c r="DI204" s="605"/>
      <c r="DJ204" s="605"/>
      <c r="DK204" s="605"/>
      <c r="DL204" s="605"/>
      <c r="DM204" s="605"/>
      <c r="DN204" s="605"/>
      <c r="DO204" s="605"/>
      <c r="DP204" s="605"/>
      <c r="DQ204" s="605"/>
      <c r="DR204" s="605"/>
      <c r="DS204" s="605"/>
      <c r="DT204" s="605"/>
      <c r="DU204" s="605"/>
      <c r="DV204" s="605"/>
      <c r="DW204" s="605"/>
      <c r="DX204" s="605"/>
      <c r="DY204" s="605"/>
      <c r="DZ204" s="605"/>
      <c r="EA204" s="605"/>
      <c r="EB204" s="605"/>
      <c r="EC204" s="605"/>
      <c r="ED204" s="605"/>
      <c r="EE204" s="605"/>
      <c r="EF204" s="605"/>
      <c r="EG204" s="605"/>
      <c r="EH204" s="605"/>
      <c r="EI204" s="605"/>
      <c r="EJ204" s="605"/>
      <c r="EK204" s="605"/>
      <c r="EL204" s="605"/>
      <c r="EM204" s="605"/>
      <c r="EN204" s="605"/>
      <c r="EO204" s="605"/>
      <c r="EP204" s="605"/>
      <c r="EQ204" s="605"/>
      <c r="ER204" s="605"/>
      <c r="ES204" s="605"/>
      <c r="ET204" s="605"/>
      <c r="EU204" s="605"/>
      <c r="EV204" s="605"/>
      <c r="EW204" s="605"/>
      <c r="EX204" s="605"/>
      <c r="EY204" s="605"/>
      <c r="EZ204" s="605"/>
      <c r="FA204" s="605"/>
      <c r="FB204" s="605"/>
      <c r="FC204" s="605"/>
      <c r="FD204" s="605"/>
      <c r="FE204" s="605"/>
      <c r="FF204" s="605"/>
      <c r="FG204" s="605"/>
      <c r="FH204" s="605"/>
      <c r="FI204" s="605"/>
      <c r="FJ204" s="605"/>
      <c r="FK204" s="605"/>
      <c r="FL204" s="605"/>
      <c r="FM204" s="605"/>
      <c r="FN204" s="605"/>
      <c r="FO204" s="605"/>
      <c r="FP204" s="605"/>
      <c r="FQ204" s="605"/>
      <c r="FR204" s="605"/>
      <c r="FS204" s="605"/>
      <c r="FT204" s="605"/>
      <c r="FU204" s="605"/>
      <c r="FV204" s="605"/>
      <c r="FW204" s="605"/>
      <c r="FX204" s="605"/>
      <c r="FY204" s="605"/>
      <c r="FZ204" s="605"/>
      <c r="GA204" s="605"/>
      <c r="GB204" s="605"/>
      <c r="GC204" s="605"/>
      <c r="GD204" s="605"/>
      <c r="GE204" s="605"/>
      <c r="GF204" s="605"/>
      <c r="GG204" s="605"/>
      <c r="GH204" s="605"/>
      <c r="GI204" s="605"/>
      <c r="GJ204" s="605"/>
      <c r="GK204" s="605"/>
      <c r="GL204" s="605"/>
      <c r="GM204" s="605"/>
      <c r="GN204" s="605"/>
      <c r="GO204" s="605"/>
      <c r="GP204" s="605"/>
      <c r="GQ204" s="605"/>
      <c r="GR204" s="605"/>
      <c r="GS204" s="605"/>
      <c r="GT204" s="605"/>
      <c r="GU204" s="605"/>
      <c r="GV204" s="605"/>
      <c r="GW204" s="605"/>
      <c r="GX204" s="605"/>
      <c r="GY204" s="605"/>
      <c r="GZ204" s="605"/>
      <c r="HA204" s="605"/>
      <c r="HB204" s="605"/>
      <c r="HC204" s="605"/>
      <c r="HD204" s="605"/>
      <c r="HE204" s="605"/>
      <c r="HF204" s="605"/>
      <c r="HG204" s="605"/>
      <c r="HH204" s="605"/>
      <c r="HI204" s="605"/>
      <c r="HJ204" s="605"/>
      <c r="HK204" s="605"/>
      <c r="HL204" s="605"/>
      <c r="HM204" s="605"/>
      <c r="HN204" s="605"/>
      <c r="HO204" s="605"/>
      <c r="HP204" s="605"/>
      <c r="HQ204" s="605"/>
      <c r="HR204" s="605"/>
      <c r="HS204" s="605"/>
      <c r="HT204" s="605"/>
      <c r="HU204" s="605"/>
      <c r="HV204" s="605"/>
      <c r="HW204" s="605"/>
      <c r="HX204" s="605"/>
      <c r="HY204" s="605"/>
      <c r="HZ204" s="605"/>
      <c r="IA204" s="605"/>
      <c r="IB204" s="605"/>
      <c r="IC204" s="605"/>
      <c r="ID204" s="605"/>
      <c r="IE204" s="605"/>
      <c r="IF204" s="605"/>
      <c r="IG204" s="605"/>
      <c r="IH204" s="605"/>
      <c r="II204" s="605"/>
      <c r="IJ204" s="605"/>
      <c r="IK204" s="605"/>
      <c r="IL204" s="605"/>
      <c r="IM204" s="605"/>
      <c r="IN204" s="605"/>
      <c r="IO204" s="605"/>
      <c r="IP204" s="605"/>
      <c r="IQ204" s="605"/>
      <c r="IR204" s="605"/>
      <c r="IS204" s="605"/>
      <c r="IT204" s="605"/>
      <c r="IU204" s="605"/>
      <c r="IV204" s="605"/>
      <c r="IW204" s="605"/>
      <c r="IX204" s="605"/>
      <c r="IY204" s="605"/>
      <c r="IZ204" s="605"/>
      <c r="JA204" s="605"/>
      <c r="JB204" s="605"/>
      <c r="JC204" s="605"/>
      <c r="JD204" s="605"/>
      <c r="JE204" s="605"/>
      <c r="JF204" s="605"/>
      <c r="JG204" s="605"/>
      <c r="JH204" s="605"/>
      <c r="JI204" s="605"/>
      <c r="JJ204" s="605"/>
      <c r="JK204" s="605"/>
      <c r="JL204" s="605"/>
      <c r="JM204" s="605"/>
      <c r="JN204" s="605"/>
      <c r="JO204" s="605"/>
      <c r="JP204" s="605"/>
      <c r="JQ204" s="605"/>
      <c r="JR204" s="605"/>
      <c r="JS204" s="605"/>
      <c r="JT204" s="605"/>
      <c r="JU204" s="605"/>
      <c r="JV204" s="605"/>
      <c r="JW204" s="605"/>
      <c r="JX204" s="605"/>
      <c r="JY204" s="605"/>
      <c r="JZ204" s="605"/>
      <c r="KA204" s="605"/>
      <c r="KB204" s="605"/>
      <c r="KC204" s="605"/>
      <c r="KD204" s="605"/>
      <c r="KE204" s="605"/>
      <c r="KF204" s="605"/>
      <c r="KG204" s="605"/>
      <c r="KH204" s="605"/>
      <c r="KI204" s="605"/>
      <c r="KJ204" s="605"/>
      <c r="KK204" s="605"/>
      <c r="KL204" s="605"/>
      <c r="KM204" s="605"/>
      <c r="KN204" s="605"/>
      <c r="KO204" s="605"/>
      <c r="KP204" s="605"/>
      <c r="KQ204" s="605"/>
      <c r="KR204" s="605"/>
      <c r="KS204" s="605"/>
      <c r="KT204" s="605"/>
      <c r="KU204" s="605"/>
      <c r="KV204" s="605"/>
      <c r="KW204" s="605"/>
      <c r="KX204" s="605"/>
      <c r="KY204" s="605"/>
      <c r="KZ204" s="605"/>
      <c r="LA204" s="605"/>
      <c r="LB204" s="605"/>
      <c r="LC204" s="605"/>
      <c r="LD204" s="605"/>
      <c r="LE204" s="605"/>
      <c r="LF204" s="605"/>
      <c r="LG204" s="605"/>
      <c r="LH204" s="605"/>
      <c r="LI204" s="605"/>
      <c r="LJ204" s="605"/>
      <c r="LK204" s="605"/>
      <c r="LL204" s="605"/>
      <c r="LM204" s="605"/>
      <c r="LN204" s="605"/>
      <c r="LO204" s="605"/>
      <c r="LP204" s="605"/>
      <c r="LQ204" s="605"/>
      <c r="LR204" s="605"/>
      <c r="LS204" s="605"/>
      <c r="LT204" s="605"/>
      <c r="LU204" s="605"/>
      <c r="LV204" s="605"/>
      <c r="LW204" s="605"/>
      <c r="LX204" s="605"/>
      <c r="LY204" s="605"/>
      <c r="LZ204" s="605"/>
      <c r="MA204" s="605"/>
      <c r="MB204" s="605"/>
      <c r="MC204" s="605"/>
      <c r="MD204" s="605"/>
      <c r="ME204" s="605"/>
      <c r="MF204" s="605"/>
      <c r="MG204" s="605"/>
      <c r="MH204" s="605"/>
      <c r="MI204" s="605"/>
      <c r="MJ204" s="605"/>
      <c r="MK204" s="605"/>
      <c r="ML204" s="605"/>
      <c r="MM204" s="605"/>
      <c r="MN204" s="605"/>
      <c r="MO204" s="605"/>
      <c r="MP204" s="605"/>
      <c r="MQ204" s="605"/>
      <c r="MR204" s="605"/>
      <c r="MS204" s="605"/>
      <c r="MT204" s="605"/>
      <c r="MU204" s="605"/>
      <c r="MV204" s="605"/>
      <c r="MW204" s="605"/>
      <c r="MX204" s="605"/>
      <c r="MY204" s="605"/>
      <c r="MZ204" s="605"/>
      <c r="NA204" s="605"/>
      <c r="NB204" s="605"/>
      <c r="NC204" s="605"/>
      <c r="ND204" s="605"/>
      <c r="NE204" s="605"/>
      <c r="NF204" s="605"/>
      <c r="NG204" s="605"/>
      <c r="NH204" s="605"/>
      <c r="NI204" s="605"/>
      <c r="NJ204" s="605"/>
      <c r="NK204" s="605"/>
      <c r="NL204" s="605"/>
      <c r="NM204" s="605"/>
      <c r="NN204" s="605"/>
      <c r="NO204" s="605"/>
      <c r="NP204" s="605"/>
      <c r="NQ204" s="605"/>
      <c r="NR204" s="605"/>
      <c r="NS204" s="605"/>
      <c r="NT204" s="605"/>
      <c r="NU204" s="605"/>
      <c r="NV204" s="605"/>
      <c r="NW204" s="605"/>
      <c r="NX204" s="605"/>
      <c r="NY204" s="605"/>
      <c r="NZ204" s="605"/>
      <c r="OA204" s="605"/>
      <c r="OB204" s="605"/>
      <c r="OC204" s="605"/>
      <c r="OD204" s="605"/>
      <c r="OE204" s="605"/>
      <c r="OF204" s="605"/>
      <c r="OG204" s="605"/>
      <c r="OH204" s="605"/>
      <c r="OI204" s="605"/>
      <c r="OJ204" s="605"/>
      <c r="OK204" s="605"/>
      <c r="OL204" s="605"/>
      <c r="OM204" s="605"/>
      <c r="ON204" s="605"/>
      <c r="OO204" s="605"/>
      <c r="OP204" s="605"/>
      <c r="OQ204" s="605"/>
      <c r="OR204" s="605"/>
      <c r="OS204" s="605"/>
      <c r="OT204" s="605"/>
      <c r="OU204" s="605"/>
      <c r="OV204" s="605"/>
      <c r="OW204" s="605"/>
      <c r="OX204" s="605"/>
      <c r="OY204" s="605"/>
      <c r="OZ204" s="605"/>
      <c r="PA204" s="605"/>
      <c r="PB204" s="605"/>
      <c r="PC204" s="605"/>
      <c r="PD204" s="605"/>
      <c r="PE204" s="605"/>
      <c r="PF204" s="605"/>
      <c r="PG204" s="605"/>
      <c r="PH204" s="605"/>
      <c r="PI204" s="605"/>
      <c r="PJ204" s="605"/>
      <c r="PK204" s="605"/>
      <c r="PL204" s="605"/>
      <c r="PM204" s="605"/>
      <c r="PN204" s="605"/>
      <c r="PO204" s="605"/>
      <c r="PP204" s="605"/>
      <c r="PQ204" s="605"/>
      <c r="PR204" s="605"/>
      <c r="PS204" s="605"/>
      <c r="PT204" s="605"/>
      <c r="PU204" s="605"/>
      <c r="PV204" s="605"/>
      <c r="PW204" s="605"/>
      <c r="PX204" s="605"/>
      <c r="PY204" s="605"/>
      <c r="PZ204" s="605"/>
      <c r="QA204" s="605"/>
      <c r="QB204" s="605"/>
      <c r="QC204" s="605"/>
      <c r="QD204" s="605"/>
      <c r="QE204" s="605"/>
      <c r="QF204" s="605"/>
      <c r="QG204" s="605"/>
      <c r="QH204" s="605"/>
      <c r="QI204" s="605"/>
      <c r="QJ204" s="605"/>
      <c r="QK204" s="605"/>
      <c r="QL204" s="605"/>
      <c r="QM204" s="605"/>
      <c r="QN204" s="605"/>
      <c r="QO204" s="605"/>
      <c r="QP204" s="605"/>
      <c r="QQ204" s="605"/>
      <c r="QR204" s="605"/>
      <c r="QS204" s="605"/>
      <c r="QT204" s="605"/>
      <c r="QU204" s="605"/>
      <c r="QV204" s="605"/>
      <c r="QW204" s="605"/>
      <c r="QX204" s="605"/>
      <c r="QY204" s="605"/>
      <c r="QZ204" s="605"/>
      <c r="RA204" s="605"/>
      <c r="RB204" s="605"/>
      <c r="RC204" s="605"/>
      <c r="RD204" s="605"/>
      <c r="RE204" s="605"/>
      <c r="RF204" s="605"/>
      <c r="RG204" s="605"/>
      <c r="RH204" s="605"/>
      <c r="RI204" s="605"/>
      <c r="RJ204" s="605"/>
      <c r="RK204" s="605"/>
      <c r="RL204" s="605"/>
      <c r="RM204" s="605"/>
      <c r="RN204" s="605"/>
      <c r="RO204" s="605"/>
      <c r="RP204" s="605"/>
      <c r="RQ204" s="605"/>
      <c r="RR204" s="605"/>
      <c r="RS204" s="605"/>
      <c r="RT204" s="605"/>
      <c r="RU204" s="605"/>
      <c r="RV204" s="605"/>
      <c r="RW204" s="605"/>
      <c r="RX204" s="605"/>
      <c r="RY204" s="605"/>
      <c r="RZ204" s="605"/>
      <c r="SA204" s="605"/>
      <c r="SB204" s="605"/>
      <c r="SC204" s="605"/>
      <c r="SD204" s="605"/>
      <c r="SE204" s="605"/>
      <c r="SF204" s="605"/>
      <c r="SG204" s="605"/>
      <c r="SH204" s="605"/>
      <c r="SI204" s="605"/>
      <c r="SJ204" s="605"/>
      <c r="SK204" s="605"/>
      <c r="SL204" s="605"/>
      <c r="SM204" s="605"/>
      <c r="SN204" s="605"/>
      <c r="SO204" s="605"/>
      <c r="SP204" s="605"/>
      <c r="SQ204" s="605"/>
      <c r="SR204" s="605"/>
      <c r="SS204" s="605"/>
      <c r="ST204" s="605"/>
      <c r="SU204" s="605"/>
      <c r="SV204" s="605"/>
      <c r="SW204" s="605"/>
      <c r="SX204" s="605"/>
      <c r="SY204" s="605"/>
      <c r="SZ204" s="605"/>
      <c r="TA204" s="605"/>
      <c r="TB204" s="605"/>
      <c r="TC204" s="605"/>
      <c r="TD204" s="605"/>
      <c r="TE204" s="605"/>
      <c r="TF204" s="605"/>
      <c r="TG204" s="605"/>
      <c r="TH204" s="605"/>
      <c r="TI204" s="605"/>
      <c r="TJ204" s="605"/>
      <c r="TK204" s="605"/>
      <c r="TL204" s="605"/>
      <c r="TM204" s="605"/>
      <c r="TN204" s="605"/>
      <c r="TO204" s="605"/>
      <c r="TP204" s="605"/>
      <c r="TQ204" s="605"/>
      <c r="TR204" s="605"/>
      <c r="TS204" s="605"/>
      <c r="TT204" s="605"/>
      <c r="TU204" s="605"/>
      <c r="TV204" s="605"/>
      <c r="TW204" s="605"/>
      <c r="TX204" s="605"/>
      <c r="TY204" s="605"/>
      <c r="TZ204" s="605"/>
      <c r="UA204" s="605"/>
      <c r="UB204" s="605"/>
      <c r="UC204" s="605"/>
      <c r="UD204" s="605"/>
      <c r="UE204" s="605"/>
      <c r="UF204" s="605"/>
      <c r="UG204" s="605"/>
      <c r="UH204" s="605"/>
      <c r="UI204" s="605"/>
      <c r="UJ204" s="605"/>
      <c r="UK204" s="605"/>
      <c r="UL204" s="605"/>
      <c r="UM204" s="605"/>
      <c r="UN204" s="605"/>
      <c r="UO204" s="605"/>
      <c r="UP204" s="605"/>
      <c r="UQ204" s="605"/>
      <c r="UR204" s="605"/>
      <c r="US204" s="605"/>
      <c r="UT204" s="605"/>
      <c r="UU204" s="605"/>
      <c r="UV204" s="605"/>
      <c r="UW204" s="605"/>
      <c r="UX204" s="605"/>
      <c r="UY204" s="605"/>
      <c r="UZ204" s="605"/>
      <c r="VA204" s="605"/>
      <c r="VB204" s="605"/>
      <c r="VC204" s="605"/>
      <c r="VD204" s="605"/>
      <c r="VE204" s="605"/>
      <c r="VF204" s="605"/>
      <c r="VG204" s="605"/>
      <c r="VH204" s="605"/>
      <c r="VI204" s="605"/>
      <c r="VJ204" s="605"/>
      <c r="VK204" s="605"/>
      <c r="VL204" s="605"/>
      <c r="VM204" s="605"/>
      <c r="VN204" s="605"/>
      <c r="VO204" s="605"/>
      <c r="VP204" s="605"/>
      <c r="VQ204" s="605"/>
      <c r="VR204" s="605"/>
      <c r="VS204" s="605"/>
      <c r="VT204" s="605"/>
      <c r="VU204" s="605"/>
      <c r="VV204" s="605"/>
      <c r="VW204" s="605"/>
      <c r="VX204" s="605"/>
      <c r="VY204" s="605"/>
      <c r="VZ204" s="605"/>
      <c r="WA204" s="605"/>
      <c r="WB204" s="605"/>
      <c r="WC204" s="605"/>
      <c r="WD204" s="605"/>
      <c r="WE204" s="605"/>
      <c r="WF204" s="605"/>
      <c r="WG204" s="605"/>
      <c r="WH204" s="605"/>
      <c r="WI204" s="605"/>
      <c r="WJ204" s="605"/>
      <c r="WK204" s="605"/>
      <c r="WL204" s="605"/>
      <c r="WM204" s="605"/>
      <c r="WN204" s="605"/>
      <c r="WO204" s="605"/>
      <c r="WP204" s="605"/>
      <c r="WQ204" s="605"/>
      <c r="WR204" s="605"/>
      <c r="WS204" s="605"/>
      <c r="WT204" s="605"/>
      <c r="WU204" s="605"/>
      <c r="WV204" s="605"/>
      <c r="WW204" s="605"/>
      <c r="WX204" s="605"/>
      <c r="WY204" s="605"/>
      <c r="WZ204" s="605"/>
      <c r="XA204" s="605"/>
      <c r="XB204" s="605"/>
      <c r="XC204" s="605"/>
      <c r="XD204" s="605"/>
      <c r="XE204" s="605"/>
      <c r="XF204" s="605"/>
      <c r="XG204" s="605"/>
      <c r="XH204" s="605"/>
      <c r="XI204" s="605"/>
      <c r="XJ204" s="605"/>
      <c r="XK204" s="605"/>
      <c r="XL204" s="605"/>
      <c r="XM204" s="605"/>
      <c r="XN204" s="605"/>
      <c r="XO204" s="605"/>
      <c r="XP204" s="605"/>
      <c r="XQ204" s="605"/>
      <c r="XR204" s="605"/>
      <c r="XS204" s="605"/>
      <c r="XT204" s="605"/>
      <c r="XU204" s="605"/>
      <c r="XV204" s="605"/>
      <c r="XW204" s="605"/>
      <c r="XX204" s="605"/>
      <c r="XY204" s="605"/>
      <c r="XZ204" s="605"/>
      <c r="YA204" s="605"/>
      <c r="YB204" s="605"/>
      <c r="YC204" s="605"/>
      <c r="YD204" s="605"/>
      <c r="YE204" s="605"/>
      <c r="YF204" s="605"/>
      <c r="YG204" s="605"/>
      <c r="YH204" s="605"/>
      <c r="YI204" s="605"/>
      <c r="YJ204" s="605"/>
      <c r="YK204" s="605"/>
      <c r="YL204" s="605"/>
      <c r="YM204" s="605"/>
      <c r="YN204" s="605"/>
      <c r="YO204" s="605"/>
      <c r="YP204" s="605"/>
      <c r="YQ204" s="605"/>
      <c r="YR204" s="605"/>
      <c r="YS204" s="605"/>
      <c r="YT204" s="605"/>
      <c r="YU204" s="605"/>
      <c r="YV204" s="605"/>
      <c r="YW204" s="605"/>
      <c r="YX204" s="605"/>
      <c r="YY204" s="605"/>
      <c r="YZ204" s="605"/>
      <c r="ZA204" s="605"/>
      <c r="ZB204" s="605"/>
      <c r="ZC204" s="605"/>
      <c r="ZD204" s="605"/>
      <c r="ZE204" s="605"/>
      <c r="ZF204" s="605"/>
      <c r="ZG204" s="605"/>
      <c r="ZH204" s="605"/>
      <c r="ZI204" s="605"/>
      <c r="ZJ204" s="605"/>
      <c r="ZK204" s="605"/>
      <c r="ZL204" s="605"/>
      <c r="ZM204" s="605"/>
      <c r="ZN204" s="605"/>
      <c r="ZO204" s="605"/>
      <c r="ZP204" s="605"/>
      <c r="ZQ204" s="605"/>
      <c r="ZR204" s="605"/>
      <c r="ZS204" s="605"/>
      <c r="ZT204" s="605"/>
      <c r="ZU204" s="605"/>
      <c r="ZV204" s="605"/>
      <c r="ZW204" s="605"/>
      <c r="ZX204" s="605"/>
      <c r="ZY204" s="605"/>
      <c r="ZZ204" s="605"/>
      <c r="AAA204" s="605"/>
      <c r="AAB204" s="605"/>
      <c r="AAC204" s="605"/>
      <c r="AAD204" s="605"/>
      <c r="AAE204" s="605"/>
      <c r="AAF204" s="605"/>
      <c r="AAG204" s="605"/>
      <c r="AAH204" s="605"/>
      <c r="AAI204" s="605"/>
      <c r="AAJ204" s="605"/>
      <c r="AAK204" s="605"/>
      <c r="AAL204" s="605"/>
      <c r="AAM204" s="605"/>
      <c r="AAN204" s="605"/>
      <c r="AAO204" s="605"/>
      <c r="AAP204" s="605"/>
      <c r="AAQ204" s="605"/>
      <c r="AAR204" s="605"/>
      <c r="AAS204" s="605"/>
      <c r="AAT204" s="605"/>
      <c r="AAU204" s="605"/>
      <c r="AAV204" s="605"/>
      <c r="AAW204" s="605"/>
      <c r="AAX204" s="605"/>
      <c r="AAY204" s="605"/>
      <c r="AAZ204" s="605"/>
      <c r="ABA204" s="605"/>
      <c r="ABB204" s="605"/>
      <c r="ABC204" s="605"/>
      <c r="ABD204" s="605"/>
      <c r="ABE204" s="605"/>
      <c r="ABF204" s="605"/>
      <c r="ABG204" s="605"/>
      <c r="ABH204" s="605"/>
      <c r="ABI204" s="605"/>
      <c r="ABJ204" s="605"/>
      <c r="ABK204" s="605"/>
      <c r="ABL204" s="605"/>
      <c r="ABM204" s="605"/>
      <c r="ABN204" s="605"/>
      <c r="ABO204" s="605"/>
      <c r="ABP204" s="605"/>
      <c r="ABQ204" s="605"/>
      <c r="ABR204" s="605"/>
      <c r="ABS204" s="605"/>
      <c r="ABT204" s="605"/>
      <c r="ABU204" s="605"/>
      <c r="ABV204" s="605"/>
      <c r="ABW204" s="605"/>
      <c r="ABX204" s="605"/>
      <c r="ABY204" s="605"/>
      <c r="ABZ204" s="605"/>
      <c r="ACA204" s="605"/>
      <c r="ACB204" s="605"/>
      <c r="ACC204" s="605"/>
      <c r="ACD204" s="605"/>
      <c r="ACE204" s="605"/>
      <c r="ACF204" s="605"/>
      <c r="ACG204" s="605"/>
      <c r="ACH204" s="605"/>
      <c r="ACI204" s="605"/>
      <c r="ACJ204" s="605"/>
      <c r="ACK204" s="605"/>
      <c r="ACL204" s="605"/>
      <c r="ACM204" s="605"/>
      <c r="ACN204" s="605"/>
      <c r="ACO204" s="605"/>
      <c r="ACP204" s="605"/>
      <c r="ACQ204" s="605"/>
      <c r="ACR204" s="605"/>
      <c r="ACS204" s="605"/>
      <c r="ACT204" s="605"/>
      <c r="ACU204" s="605"/>
      <c r="ACV204" s="605"/>
      <c r="ACW204" s="605"/>
      <c r="ACX204" s="605"/>
      <c r="ACY204" s="605"/>
      <c r="ACZ204" s="605"/>
      <c r="ADA204" s="605"/>
      <c r="ADB204" s="605"/>
      <c r="ADC204" s="605"/>
      <c r="ADD204" s="605"/>
      <c r="ADE204" s="605"/>
      <c r="ADF204" s="605"/>
      <c r="ADG204" s="605"/>
      <c r="ADH204" s="605"/>
      <c r="ADI204" s="605"/>
      <c r="ADJ204" s="605"/>
      <c r="ADK204" s="605"/>
      <c r="ADL204" s="605"/>
      <c r="ADM204" s="605"/>
      <c r="ADN204" s="605"/>
      <c r="ADO204" s="605"/>
      <c r="ADP204" s="605"/>
      <c r="ADQ204" s="605"/>
      <c r="ADR204" s="605"/>
      <c r="ADS204" s="605"/>
      <c r="ADT204" s="605"/>
      <c r="ADU204" s="605"/>
      <c r="ADV204" s="605"/>
      <c r="ADW204" s="605"/>
      <c r="ADX204" s="605"/>
      <c r="ADY204" s="605"/>
      <c r="ADZ204" s="605"/>
      <c r="AEA204" s="605"/>
      <c r="AEB204" s="605"/>
      <c r="AEC204" s="605"/>
      <c r="AED204" s="605"/>
      <c r="AEE204" s="605"/>
      <c r="AEF204" s="605"/>
      <c r="AEG204" s="605"/>
      <c r="AEH204" s="605"/>
      <c r="AEI204" s="605"/>
      <c r="AEJ204" s="605"/>
      <c r="AEK204" s="605"/>
      <c r="AEL204" s="605"/>
      <c r="AEM204" s="605"/>
      <c r="AEN204" s="605"/>
      <c r="AEO204" s="605"/>
      <c r="AEP204" s="605"/>
      <c r="AEQ204" s="605"/>
      <c r="AER204" s="605"/>
      <c r="AES204" s="605"/>
      <c r="AET204" s="605"/>
      <c r="AEU204" s="605"/>
      <c r="AEV204" s="605"/>
      <c r="AEW204" s="605"/>
      <c r="AEX204" s="605"/>
      <c r="AEY204" s="605"/>
      <c r="AEZ204" s="605"/>
      <c r="AFA204" s="605"/>
      <c r="AFB204" s="605"/>
      <c r="AFC204" s="605"/>
      <c r="AFD204" s="605"/>
      <c r="AFE204" s="605"/>
      <c r="AFF204" s="605"/>
      <c r="AFG204" s="605"/>
      <c r="AFH204" s="605"/>
      <c r="AFI204" s="605"/>
      <c r="AFJ204" s="605"/>
      <c r="AFK204" s="605"/>
      <c r="AFL204" s="605"/>
      <c r="AFM204" s="605"/>
      <c r="AFN204" s="605"/>
      <c r="AFO204" s="605"/>
      <c r="AFP204" s="605"/>
      <c r="AFQ204" s="605"/>
      <c r="AFR204" s="605"/>
      <c r="AFS204" s="605"/>
      <c r="AFT204" s="605"/>
      <c r="AFU204" s="605"/>
      <c r="AFV204" s="605"/>
      <c r="AFW204" s="605"/>
      <c r="AFX204" s="605"/>
      <c r="AFY204" s="605"/>
      <c r="AFZ204" s="605"/>
      <c r="AGA204" s="605"/>
      <c r="AGB204" s="605"/>
      <c r="AGC204" s="605"/>
      <c r="AGD204" s="605"/>
      <c r="AGE204" s="605"/>
      <c r="AGF204" s="605"/>
      <c r="AGG204" s="605"/>
      <c r="AGH204" s="605"/>
      <c r="AGI204" s="605"/>
      <c r="AGJ204" s="605"/>
      <c r="AGK204" s="605"/>
      <c r="AGL204" s="605"/>
      <c r="AGM204" s="605"/>
      <c r="AGN204" s="605"/>
      <c r="AGO204" s="605"/>
      <c r="AGP204" s="605"/>
      <c r="AGQ204" s="605"/>
      <c r="AGR204" s="605"/>
      <c r="AGS204" s="605"/>
      <c r="AGT204" s="605"/>
      <c r="AGU204" s="605"/>
      <c r="AGV204" s="605"/>
      <c r="AGW204" s="605"/>
      <c r="AGX204" s="605"/>
      <c r="AGY204" s="605"/>
      <c r="AGZ204" s="605"/>
      <c r="AHA204" s="605"/>
      <c r="AHB204" s="605"/>
      <c r="AHC204" s="605"/>
      <c r="AHD204" s="605"/>
      <c r="AHE204" s="605"/>
      <c r="AHF204" s="605"/>
      <c r="AHG204" s="605"/>
      <c r="AHH204" s="605"/>
      <c r="AHI204" s="605"/>
      <c r="AHJ204" s="605"/>
      <c r="AHK204" s="605"/>
      <c r="AHL204" s="605"/>
      <c r="AHM204" s="605"/>
      <c r="AHN204" s="605"/>
      <c r="AHO204" s="605"/>
      <c r="AHP204" s="605"/>
      <c r="AHQ204" s="605"/>
      <c r="AHR204" s="605"/>
      <c r="AHS204" s="605"/>
      <c r="AHT204" s="605"/>
      <c r="AHU204" s="605"/>
      <c r="AHV204" s="605"/>
      <c r="AHW204" s="605"/>
      <c r="AHX204" s="605"/>
      <c r="AHY204" s="605"/>
      <c r="AHZ204" s="605"/>
      <c r="AIA204" s="605"/>
      <c r="AIB204" s="605"/>
      <c r="AIC204" s="605"/>
      <c r="AID204" s="605"/>
      <c r="AIE204" s="605"/>
      <c r="AIF204" s="605"/>
      <c r="AIG204" s="605"/>
      <c r="AIH204" s="605"/>
      <c r="AII204" s="605"/>
      <c r="AIJ204" s="605"/>
      <c r="AIK204" s="605"/>
      <c r="AIL204" s="605"/>
      <c r="AIM204" s="605"/>
      <c r="AIN204" s="605"/>
      <c r="AIO204" s="605"/>
      <c r="AIP204" s="605"/>
      <c r="AIQ204" s="605"/>
      <c r="AIR204" s="605"/>
      <c r="AIS204" s="605"/>
      <c r="AIT204" s="605"/>
      <c r="AIU204" s="605"/>
      <c r="AIV204" s="605"/>
      <c r="AIW204" s="605"/>
      <c r="AIX204" s="605"/>
      <c r="AIY204" s="605"/>
      <c r="AIZ204" s="605"/>
      <c r="AJA204" s="605"/>
      <c r="AJB204" s="605"/>
      <c r="AJC204" s="605"/>
      <c r="AJD204" s="605"/>
      <c r="AJE204" s="605"/>
      <c r="AJF204" s="605"/>
      <c r="AJG204" s="605"/>
      <c r="AJH204" s="605"/>
      <c r="AJI204" s="605"/>
      <c r="AJJ204" s="605"/>
      <c r="AJK204" s="605"/>
      <c r="AJL204" s="605"/>
      <c r="AJM204" s="605"/>
      <c r="AJN204" s="605"/>
      <c r="AJO204" s="605"/>
      <c r="AJP204" s="605"/>
      <c r="AJQ204" s="605"/>
      <c r="AJR204" s="605"/>
      <c r="AJS204" s="605"/>
      <c r="AJT204" s="605"/>
      <c r="AJU204" s="605"/>
      <c r="AJV204" s="605"/>
      <c r="AJW204" s="605"/>
      <c r="AJX204" s="605"/>
      <c r="AJY204" s="605"/>
      <c r="AJZ204" s="605"/>
      <c r="AKA204" s="605"/>
      <c r="AKB204" s="605"/>
      <c r="AKC204" s="605"/>
      <c r="AKD204" s="605"/>
      <c r="AKE204" s="605"/>
      <c r="AKF204" s="605"/>
      <c r="AKG204" s="605"/>
      <c r="AKH204" s="605"/>
      <c r="AKI204" s="605"/>
      <c r="AKJ204" s="605"/>
      <c r="AKK204" s="605"/>
      <c r="AKL204" s="605"/>
      <c r="AKM204" s="605"/>
      <c r="AKN204" s="605"/>
      <c r="AKO204" s="605"/>
      <c r="AKP204" s="605"/>
      <c r="AKQ204" s="605"/>
      <c r="AKR204" s="605"/>
      <c r="AKS204" s="605"/>
      <c r="AKT204" s="605"/>
      <c r="AKU204" s="605"/>
      <c r="AKV204" s="605"/>
      <c r="AKW204" s="605"/>
      <c r="AKX204" s="605"/>
      <c r="AKY204" s="605"/>
      <c r="AKZ204" s="605"/>
      <c r="ALA204" s="605"/>
      <c r="ALB204" s="605"/>
      <c r="ALC204" s="605"/>
      <c r="ALD204" s="605"/>
      <c r="ALE204" s="605"/>
      <c r="ALF204" s="605"/>
      <c r="ALG204" s="605"/>
      <c r="ALH204" s="605"/>
      <c r="ALI204" s="605"/>
      <c r="ALJ204" s="605"/>
      <c r="ALK204" s="605"/>
      <c r="ALL204" s="605"/>
      <c r="ALM204" s="605"/>
      <c r="ALN204" s="605"/>
      <c r="ALO204" s="605"/>
      <c r="ALP204" s="605"/>
      <c r="ALQ204" s="605"/>
      <c r="ALR204" s="605"/>
      <c r="ALS204" s="605"/>
      <c r="ALT204" s="605"/>
      <c r="ALU204" s="605"/>
      <c r="ALV204" s="605"/>
      <c r="ALW204" s="605"/>
      <c r="ALX204" s="605"/>
      <c r="ALY204" s="605"/>
      <c r="ALZ204" s="605"/>
      <c r="AMA204" s="605"/>
      <c r="AMB204" s="605"/>
      <c r="AMC204" s="605"/>
      <c r="AMD204" s="605"/>
      <c r="AME204" s="605"/>
      <c r="AMF204" s="605"/>
      <c r="AMG204" s="605"/>
      <c r="AMH204" s="605"/>
      <c r="AMI204" s="605"/>
      <c r="AMJ204" s="605"/>
      <c r="AMK204" s="605"/>
      <c r="AML204" s="605"/>
      <c r="AMM204" s="605"/>
      <c r="AMN204" s="605"/>
      <c r="AMO204" s="605"/>
      <c r="AMP204" s="605"/>
      <c r="AMQ204" s="605"/>
      <c r="AMR204" s="605"/>
      <c r="AMS204" s="605"/>
      <c r="AMT204" s="605"/>
      <c r="AMU204" s="605"/>
      <c r="AMV204" s="605"/>
      <c r="AMW204" s="605"/>
      <c r="AMX204" s="605"/>
      <c r="AMY204" s="605"/>
      <c r="AMZ204" s="605"/>
      <c r="ANA204" s="605"/>
      <c r="ANB204" s="605"/>
      <c r="ANC204" s="605"/>
      <c r="AND204" s="605"/>
      <c r="ANE204" s="605"/>
      <c r="ANF204" s="605"/>
      <c r="ANG204" s="605"/>
      <c r="ANH204" s="605"/>
      <c r="ANI204" s="605"/>
      <c r="ANJ204" s="605"/>
      <c r="ANK204" s="605"/>
      <c r="ANL204" s="605"/>
      <c r="ANM204" s="605"/>
      <c r="ANN204" s="605"/>
      <c r="ANO204" s="605"/>
      <c r="ANP204" s="605"/>
      <c r="ANQ204" s="605"/>
      <c r="ANR204" s="605"/>
      <c r="ANS204" s="605"/>
      <c r="ANT204" s="605"/>
      <c r="ANU204" s="605"/>
      <c r="ANV204" s="605"/>
      <c r="ANW204" s="605"/>
      <c r="ANX204" s="605"/>
      <c r="ANY204" s="605"/>
      <c r="ANZ204" s="605"/>
      <c r="AOA204" s="605"/>
      <c r="AOB204" s="605"/>
      <c r="AOC204" s="605"/>
      <c r="AOD204" s="605"/>
      <c r="AOE204" s="605"/>
      <c r="AOF204" s="605"/>
      <c r="AOG204" s="605"/>
      <c r="AOH204" s="605"/>
      <c r="AOI204" s="605"/>
      <c r="AOJ204" s="605"/>
      <c r="AOK204" s="605"/>
      <c r="AOL204" s="605"/>
      <c r="AOM204" s="605"/>
      <c r="AON204" s="605"/>
      <c r="AOO204" s="605"/>
      <c r="AOP204" s="605"/>
      <c r="AOQ204" s="605"/>
      <c r="AOR204" s="605"/>
      <c r="AOS204" s="605"/>
      <c r="AOT204" s="605"/>
      <c r="AOU204" s="605"/>
      <c r="AOV204" s="605"/>
      <c r="AOW204" s="605"/>
      <c r="AOX204" s="605"/>
      <c r="AOY204" s="605"/>
      <c r="AOZ204" s="605"/>
      <c r="APA204" s="605"/>
      <c r="APB204" s="605"/>
      <c r="APC204" s="605"/>
      <c r="APD204" s="605"/>
      <c r="APE204" s="605"/>
      <c r="APF204" s="605"/>
      <c r="APG204" s="605"/>
      <c r="APH204" s="605"/>
      <c r="API204" s="605"/>
      <c r="APJ204" s="605"/>
      <c r="APK204" s="605"/>
      <c r="APL204" s="605"/>
      <c r="APM204" s="605"/>
      <c r="APN204" s="605"/>
      <c r="APO204" s="605"/>
      <c r="APP204" s="605"/>
      <c r="APQ204" s="605"/>
      <c r="APR204" s="605"/>
      <c r="APS204" s="605"/>
      <c r="APT204" s="605"/>
      <c r="APU204" s="605"/>
      <c r="APV204" s="605"/>
      <c r="APW204" s="605"/>
      <c r="APX204" s="605"/>
      <c r="APY204" s="605"/>
      <c r="APZ204" s="605"/>
      <c r="AQA204" s="605"/>
      <c r="AQB204" s="605"/>
      <c r="AQC204" s="605"/>
      <c r="AQD204" s="605"/>
      <c r="AQE204" s="605"/>
      <c r="AQF204" s="605"/>
      <c r="AQG204" s="605"/>
      <c r="AQH204" s="605"/>
      <c r="AQI204" s="605"/>
      <c r="AQJ204" s="605"/>
      <c r="AQK204" s="605"/>
      <c r="AQL204" s="605"/>
      <c r="AQM204" s="605"/>
      <c r="AQN204" s="605"/>
      <c r="AQO204" s="605"/>
      <c r="AQP204" s="605"/>
      <c r="AQQ204" s="605"/>
      <c r="AQR204" s="605"/>
      <c r="AQS204" s="605"/>
      <c r="AQT204" s="605"/>
      <c r="AQU204" s="605"/>
      <c r="AQV204" s="605"/>
      <c r="AQW204" s="605"/>
      <c r="AQX204" s="605"/>
      <c r="AQY204" s="605"/>
      <c r="AQZ204" s="605"/>
      <c r="ARA204" s="605"/>
      <c r="ARB204" s="605"/>
      <c r="ARC204" s="605"/>
      <c r="ARD204" s="605"/>
      <c r="ARE204" s="605"/>
      <c r="ARF204" s="605"/>
      <c r="ARG204" s="605"/>
      <c r="ARH204" s="605"/>
      <c r="ARI204" s="605"/>
      <c r="ARJ204" s="605"/>
      <c r="ARK204" s="605"/>
      <c r="ARL204" s="605"/>
      <c r="ARM204" s="605"/>
      <c r="ARN204" s="605"/>
      <c r="ARO204" s="605"/>
      <c r="ARP204" s="605"/>
      <c r="ARQ204" s="605"/>
      <c r="ARR204" s="605"/>
      <c r="ARS204" s="605"/>
      <c r="ART204" s="605"/>
      <c r="ARU204" s="605"/>
      <c r="ARV204" s="605"/>
      <c r="ARW204" s="605"/>
      <c r="ARX204" s="605"/>
      <c r="ARY204" s="605"/>
      <c r="ARZ204" s="605"/>
      <c r="ASA204" s="605"/>
      <c r="ASB204" s="605"/>
      <c r="ASC204" s="605"/>
      <c r="ASD204" s="605"/>
      <c r="ASE204" s="605"/>
      <c r="ASF204" s="605"/>
      <c r="ASG204" s="605"/>
      <c r="ASH204" s="605"/>
      <c r="ASI204" s="605"/>
      <c r="ASJ204" s="605"/>
      <c r="ASK204" s="605"/>
      <c r="ASL204" s="605"/>
      <c r="ASM204" s="605"/>
      <c r="ASN204" s="605"/>
      <c r="ASO204" s="605"/>
      <c r="ASP204" s="605"/>
      <c r="ASQ204" s="605"/>
      <c r="ASR204" s="605"/>
      <c r="ASS204" s="605"/>
      <c r="AST204" s="605"/>
      <c r="ASU204" s="605"/>
      <c r="ASV204" s="605"/>
      <c r="ASW204" s="605"/>
      <c r="ASX204" s="605"/>
      <c r="ASY204" s="605"/>
      <c r="ASZ204" s="605"/>
      <c r="ATA204" s="605"/>
      <c r="ATB204" s="605"/>
      <c r="ATC204" s="605"/>
      <c r="ATD204" s="605"/>
      <c r="ATE204" s="605"/>
      <c r="ATF204" s="605"/>
      <c r="ATG204" s="605"/>
      <c r="ATH204" s="605"/>
      <c r="ATI204" s="605"/>
      <c r="ATJ204" s="605"/>
      <c r="ATK204" s="605"/>
      <c r="ATL204" s="605"/>
      <c r="ATM204" s="605"/>
      <c r="ATN204" s="605"/>
      <c r="ATO204" s="605"/>
      <c r="ATP204" s="605"/>
      <c r="ATQ204" s="605"/>
      <c r="ATR204" s="605"/>
      <c r="ATS204" s="605"/>
      <c r="ATT204" s="605"/>
      <c r="ATU204" s="605"/>
      <c r="ATV204" s="605"/>
      <c r="ATW204" s="605"/>
      <c r="ATX204" s="605"/>
      <c r="ATY204" s="605"/>
      <c r="ATZ204" s="605"/>
      <c r="AUA204" s="605"/>
      <c r="AUB204" s="605"/>
      <c r="AUC204" s="605"/>
      <c r="AUD204" s="605"/>
      <c r="AUE204" s="605"/>
      <c r="AUF204" s="605"/>
      <c r="AUG204" s="605"/>
      <c r="AUH204" s="605"/>
      <c r="AUI204" s="605"/>
      <c r="AUJ204" s="605"/>
      <c r="AUK204" s="605"/>
      <c r="AUL204" s="605"/>
      <c r="AUM204" s="605"/>
      <c r="AUN204" s="605"/>
      <c r="AUO204" s="605"/>
      <c r="AUP204" s="605"/>
      <c r="AUQ204" s="605"/>
      <c r="AUR204" s="605"/>
      <c r="AUS204" s="605"/>
      <c r="AUT204" s="605"/>
      <c r="AUU204" s="605"/>
      <c r="AUV204" s="605"/>
      <c r="AUW204" s="605"/>
      <c r="AUX204" s="605"/>
      <c r="AUY204" s="605"/>
      <c r="AUZ204" s="605"/>
      <c r="AVA204" s="605"/>
      <c r="AVB204" s="605"/>
      <c r="AVC204" s="605"/>
      <c r="AVD204" s="605"/>
      <c r="AVE204" s="605"/>
      <c r="AVF204" s="605"/>
      <c r="AVG204" s="605"/>
      <c r="AVH204" s="605"/>
      <c r="AVI204" s="605"/>
      <c r="AVJ204" s="605"/>
      <c r="AVK204" s="605"/>
      <c r="AVL204" s="605"/>
      <c r="AVM204" s="605"/>
      <c r="AVN204" s="605"/>
      <c r="AVO204" s="605"/>
      <c r="AVP204" s="605"/>
      <c r="AVQ204" s="605"/>
      <c r="AVR204" s="605"/>
      <c r="AVS204" s="605"/>
      <c r="AVT204" s="605"/>
      <c r="AVU204" s="605"/>
      <c r="AVV204" s="605"/>
      <c r="AVW204" s="605"/>
      <c r="AVX204" s="605"/>
      <c r="AVY204" s="605"/>
      <c r="AVZ204" s="605"/>
      <c r="AWA204" s="605"/>
      <c r="AWB204" s="605"/>
      <c r="AWC204" s="605"/>
      <c r="AWD204" s="605"/>
      <c r="AWE204" s="605"/>
      <c r="AWF204" s="605"/>
      <c r="AWG204" s="605"/>
      <c r="AWH204" s="605"/>
      <c r="AWI204" s="605"/>
      <c r="AWJ204" s="605"/>
      <c r="AWK204" s="605"/>
      <c r="AWL204" s="605"/>
      <c r="AWM204" s="605"/>
      <c r="AWN204" s="605"/>
      <c r="AWO204" s="605"/>
      <c r="AWP204" s="605"/>
      <c r="AWQ204" s="605"/>
      <c r="AWR204" s="605"/>
      <c r="AWS204" s="605"/>
      <c r="AWT204" s="605"/>
      <c r="AWU204" s="605"/>
      <c r="AWV204" s="605"/>
      <c r="AWW204" s="605"/>
      <c r="AWX204" s="605"/>
      <c r="AWY204" s="605"/>
      <c r="AWZ204" s="605"/>
      <c r="AXA204" s="605"/>
      <c r="AXB204" s="605"/>
      <c r="AXC204" s="605"/>
      <c r="AXD204" s="605"/>
      <c r="AXE204" s="605"/>
      <c r="AXF204" s="605"/>
      <c r="AXG204" s="605"/>
      <c r="AXH204" s="605"/>
      <c r="AXI204" s="605"/>
      <c r="AXJ204" s="605"/>
      <c r="AXK204" s="605"/>
      <c r="AXL204" s="605"/>
      <c r="AXM204" s="605"/>
      <c r="AXN204" s="605"/>
      <c r="AXO204" s="605"/>
      <c r="AXP204" s="605"/>
      <c r="AXQ204" s="605"/>
      <c r="AXR204" s="605"/>
      <c r="AXS204" s="605"/>
      <c r="AXT204" s="605"/>
      <c r="AXU204" s="605"/>
      <c r="AXV204" s="605"/>
      <c r="AXW204" s="605"/>
      <c r="AXX204" s="605"/>
      <c r="AXY204" s="605"/>
      <c r="AXZ204" s="605"/>
      <c r="AYA204" s="605"/>
      <c r="AYB204" s="605"/>
      <c r="AYC204" s="605"/>
      <c r="AYD204" s="605"/>
      <c r="AYE204" s="605"/>
      <c r="AYF204" s="605"/>
      <c r="AYG204" s="605"/>
      <c r="AYH204" s="605"/>
      <c r="AYI204" s="605"/>
      <c r="AYJ204" s="605"/>
      <c r="AYK204" s="605"/>
      <c r="AYL204" s="605"/>
      <c r="AYM204" s="605"/>
      <c r="AYN204" s="605"/>
      <c r="AYO204" s="605"/>
      <c r="AYP204" s="605"/>
      <c r="AYQ204" s="605"/>
      <c r="AYR204" s="605"/>
      <c r="AYS204" s="605"/>
      <c r="AYT204" s="605"/>
      <c r="AYU204" s="605"/>
      <c r="AYV204" s="605"/>
      <c r="AYW204" s="605"/>
      <c r="AYX204" s="605"/>
      <c r="AYY204" s="605"/>
      <c r="AYZ204" s="605"/>
      <c r="AZA204" s="605"/>
      <c r="AZB204" s="605"/>
      <c r="AZC204" s="605"/>
      <c r="AZD204" s="605"/>
      <c r="AZE204" s="605"/>
      <c r="AZF204" s="605"/>
      <c r="AZG204" s="605"/>
      <c r="AZH204" s="605"/>
      <c r="AZI204" s="605"/>
      <c r="AZJ204" s="605"/>
      <c r="AZK204" s="605"/>
      <c r="AZL204" s="605"/>
      <c r="AZM204" s="605"/>
      <c r="AZN204" s="605"/>
      <c r="AZO204" s="605"/>
      <c r="AZP204" s="605"/>
      <c r="AZQ204" s="605"/>
      <c r="AZR204" s="605"/>
      <c r="AZS204" s="605"/>
      <c r="AZT204" s="605"/>
      <c r="AZU204" s="605"/>
      <c r="AZV204" s="605"/>
      <c r="AZW204" s="605"/>
      <c r="AZX204" s="605"/>
      <c r="AZY204" s="605"/>
      <c r="AZZ204" s="605"/>
      <c r="BAA204" s="605"/>
      <c r="BAB204" s="605"/>
      <c r="BAC204" s="605"/>
      <c r="BAD204" s="605"/>
      <c r="BAE204" s="605"/>
      <c r="BAF204" s="605"/>
      <c r="BAG204" s="605"/>
      <c r="BAH204" s="605"/>
      <c r="BAI204" s="605"/>
      <c r="BAJ204" s="605"/>
      <c r="BAK204" s="605"/>
      <c r="BAL204" s="605"/>
      <c r="BAM204" s="605"/>
      <c r="BAN204" s="605"/>
      <c r="BAO204" s="605"/>
      <c r="BAP204" s="605"/>
      <c r="BAQ204" s="605"/>
      <c r="BAR204" s="605"/>
      <c r="BAS204" s="605"/>
      <c r="BAT204" s="605"/>
      <c r="BAU204" s="605"/>
      <c r="BAV204" s="605"/>
      <c r="BAW204" s="605"/>
      <c r="BAX204" s="605"/>
      <c r="BAY204" s="605"/>
      <c r="BAZ204" s="605"/>
      <c r="BBA204" s="605"/>
      <c r="BBB204" s="605"/>
      <c r="BBC204" s="605"/>
      <c r="BBD204" s="605"/>
      <c r="BBE204" s="605"/>
      <c r="BBF204" s="605"/>
      <c r="BBG204" s="605"/>
      <c r="BBH204" s="605"/>
      <c r="BBI204" s="605"/>
      <c r="BBJ204" s="605"/>
      <c r="BBK204" s="605"/>
      <c r="BBL204" s="605"/>
      <c r="BBM204" s="605"/>
      <c r="BBN204" s="605"/>
      <c r="BBO204" s="605"/>
      <c r="BBP204" s="605"/>
      <c r="BBQ204" s="605"/>
      <c r="BBR204" s="605"/>
      <c r="BBS204" s="605"/>
      <c r="BBT204" s="605"/>
      <c r="BBU204" s="605"/>
      <c r="BBV204" s="605"/>
      <c r="BBW204" s="605"/>
      <c r="BBX204" s="605"/>
      <c r="BBY204" s="605"/>
      <c r="BBZ204" s="605"/>
      <c r="BCA204" s="605"/>
      <c r="BCB204" s="605"/>
      <c r="BCC204" s="605"/>
      <c r="BCD204" s="605"/>
      <c r="BCE204" s="605"/>
      <c r="BCF204" s="605"/>
      <c r="BCG204" s="605"/>
      <c r="BCH204" s="605"/>
      <c r="BCI204" s="605"/>
      <c r="BCJ204" s="605"/>
      <c r="BCK204" s="605"/>
      <c r="BCL204" s="605"/>
      <c r="BCM204" s="605"/>
      <c r="BCN204" s="605"/>
      <c r="BCO204" s="605"/>
      <c r="BCP204" s="605"/>
      <c r="BCQ204" s="605"/>
      <c r="BCR204" s="605"/>
      <c r="BCS204" s="605"/>
      <c r="BCT204" s="605"/>
      <c r="BCU204" s="605"/>
      <c r="BCV204" s="605"/>
      <c r="BCW204" s="605"/>
      <c r="BCX204" s="605"/>
      <c r="BCY204" s="605"/>
      <c r="BCZ204" s="605"/>
      <c r="BDA204" s="605"/>
      <c r="BDB204" s="605"/>
      <c r="BDC204" s="605"/>
      <c r="BDD204" s="605"/>
      <c r="BDE204" s="605"/>
      <c r="BDF204" s="605"/>
      <c r="BDG204" s="605"/>
      <c r="BDH204" s="605"/>
      <c r="BDI204" s="605"/>
      <c r="BDJ204" s="605"/>
      <c r="BDK204" s="605"/>
      <c r="BDL204" s="605"/>
      <c r="BDM204" s="605"/>
      <c r="BDN204" s="605"/>
      <c r="BDO204" s="605"/>
      <c r="BDP204" s="605"/>
      <c r="BDQ204" s="605"/>
      <c r="BDR204" s="605"/>
      <c r="BDS204" s="605"/>
      <c r="BDT204" s="605"/>
      <c r="BDU204" s="605"/>
      <c r="BDV204" s="605"/>
      <c r="BDW204" s="605"/>
      <c r="BDX204" s="605"/>
      <c r="BDY204" s="605"/>
      <c r="BDZ204" s="605"/>
      <c r="BEA204" s="605"/>
      <c r="BEB204" s="605"/>
      <c r="BEC204" s="605"/>
      <c r="BED204" s="605"/>
      <c r="BEE204" s="605"/>
      <c r="BEF204" s="605"/>
      <c r="BEG204" s="605"/>
      <c r="BEH204" s="605"/>
      <c r="BEI204" s="605"/>
      <c r="BEJ204" s="605"/>
      <c r="BEK204" s="605"/>
      <c r="BEL204" s="605"/>
      <c r="BEM204" s="605"/>
      <c r="BEN204" s="605"/>
      <c r="BEO204" s="605"/>
      <c r="BEP204" s="605"/>
      <c r="BEQ204" s="605"/>
      <c r="BER204" s="605"/>
      <c r="BES204" s="605"/>
      <c r="BET204" s="605"/>
      <c r="BEU204" s="605"/>
      <c r="BEV204" s="605"/>
      <c r="BEW204" s="605"/>
      <c r="BEX204" s="605"/>
      <c r="BEY204" s="605"/>
      <c r="BEZ204" s="605"/>
      <c r="BFA204" s="605"/>
      <c r="BFB204" s="605"/>
      <c r="BFC204" s="605"/>
      <c r="BFD204" s="605"/>
      <c r="BFE204" s="605"/>
      <c r="BFF204" s="605"/>
      <c r="BFG204" s="605"/>
      <c r="BFH204" s="605"/>
      <c r="BFI204" s="605"/>
      <c r="BFJ204" s="605"/>
      <c r="BFK204" s="605"/>
      <c r="BFL204" s="605"/>
      <c r="BFM204" s="605"/>
      <c r="BFN204" s="605"/>
      <c r="BFO204" s="605"/>
      <c r="BFP204" s="605"/>
      <c r="BFQ204" s="605"/>
      <c r="BFR204" s="605"/>
      <c r="BFS204" s="605"/>
      <c r="BFT204" s="605"/>
      <c r="BFU204" s="605"/>
      <c r="BFV204" s="605"/>
      <c r="BFW204" s="605"/>
      <c r="BFX204" s="605"/>
      <c r="BFY204" s="605"/>
      <c r="BFZ204" s="605"/>
      <c r="BGA204" s="605"/>
      <c r="BGB204" s="605"/>
      <c r="BGC204" s="605"/>
      <c r="BGD204" s="605"/>
      <c r="BGE204" s="605"/>
      <c r="BGF204" s="605"/>
      <c r="BGG204" s="605"/>
      <c r="BGH204" s="605"/>
      <c r="BGI204" s="605"/>
      <c r="BGJ204" s="605"/>
      <c r="BGK204" s="605"/>
      <c r="BGL204" s="605"/>
      <c r="BGM204" s="605"/>
      <c r="BGN204" s="605"/>
      <c r="BGO204" s="605"/>
      <c r="BGP204" s="605"/>
      <c r="BGQ204" s="605"/>
      <c r="BGR204" s="605"/>
      <c r="BGS204" s="605"/>
      <c r="BGT204" s="605"/>
      <c r="BGU204" s="605"/>
      <c r="BGV204" s="605"/>
      <c r="BGW204" s="605"/>
      <c r="BGX204" s="605"/>
      <c r="BGY204" s="605"/>
      <c r="BGZ204" s="605"/>
      <c r="BHA204" s="605"/>
      <c r="BHB204" s="605"/>
      <c r="BHC204" s="605"/>
      <c r="BHD204" s="605"/>
      <c r="BHE204" s="605"/>
      <c r="BHF204" s="605"/>
      <c r="BHG204" s="605"/>
      <c r="BHH204" s="605"/>
      <c r="BHI204" s="605"/>
      <c r="BHJ204" s="605"/>
      <c r="BHK204" s="605"/>
      <c r="BHL204" s="605"/>
      <c r="BHM204" s="605"/>
      <c r="BHN204" s="605"/>
      <c r="BHO204" s="605"/>
      <c r="BHP204" s="605"/>
      <c r="BHQ204" s="605"/>
      <c r="BHR204" s="605"/>
      <c r="BHS204" s="605"/>
      <c r="BHT204" s="605"/>
      <c r="BHU204" s="605"/>
      <c r="BHV204" s="605"/>
      <c r="BHW204" s="605"/>
      <c r="BHX204" s="605"/>
      <c r="BHY204" s="605"/>
      <c r="BHZ204" s="605"/>
      <c r="BIA204" s="605"/>
      <c r="BIB204" s="605"/>
      <c r="BIC204" s="605"/>
      <c r="BID204" s="605"/>
      <c r="BIE204" s="605"/>
      <c r="BIF204" s="605"/>
      <c r="BIG204" s="605"/>
      <c r="BIH204" s="605"/>
      <c r="BII204" s="605"/>
      <c r="BIJ204" s="605"/>
      <c r="BIK204" s="605"/>
      <c r="BIL204" s="605"/>
      <c r="BIM204" s="605"/>
      <c r="BIN204" s="605"/>
      <c r="BIO204" s="605"/>
      <c r="BIP204" s="605"/>
      <c r="BIQ204" s="605"/>
      <c r="BIR204" s="605"/>
      <c r="BIS204" s="605"/>
      <c r="BIT204" s="605"/>
      <c r="BIU204" s="605"/>
      <c r="BIV204" s="605"/>
      <c r="BIW204" s="605"/>
      <c r="BIX204" s="605"/>
      <c r="BIY204" s="605"/>
      <c r="BIZ204" s="605"/>
      <c r="BJA204" s="605"/>
      <c r="BJB204" s="605"/>
      <c r="BJC204" s="605"/>
      <c r="BJD204" s="605"/>
      <c r="BJE204" s="605"/>
      <c r="BJF204" s="605"/>
      <c r="BJG204" s="605"/>
      <c r="BJH204" s="605"/>
      <c r="BJI204" s="605"/>
      <c r="BJJ204" s="605"/>
      <c r="BJK204" s="605"/>
      <c r="BJL204" s="605"/>
      <c r="BJM204" s="605"/>
      <c r="BJN204" s="605"/>
      <c r="BJO204" s="605"/>
      <c r="BJP204" s="605"/>
      <c r="BJQ204" s="605"/>
      <c r="BJR204" s="605"/>
      <c r="BJS204" s="605"/>
      <c r="BJT204" s="605"/>
      <c r="BJU204" s="605"/>
      <c r="BJV204" s="605"/>
      <c r="BJW204" s="605"/>
      <c r="BJX204" s="605"/>
      <c r="BJY204" s="605"/>
      <c r="BJZ204" s="605"/>
      <c r="BKA204" s="605"/>
      <c r="BKB204" s="605"/>
      <c r="BKC204" s="605"/>
      <c r="BKD204" s="605"/>
      <c r="BKE204" s="605"/>
      <c r="BKF204" s="605"/>
      <c r="BKG204" s="605"/>
      <c r="BKH204" s="605"/>
      <c r="BKI204" s="605"/>
      <c r="BKJ204" s="605"/>
      <c r="BKK204" s="605"/>
      <c r="BKL204" s="605"/>
      <c r="BKM204" s="605"/>
      <c r="BKN204" s="605"/>
      <c r="BKO204" s="605"/>
      <c r="BKP204" s="605"/>
      <c r="BKQ204" s="605"/>
      <c r="BKR204" s="605"/>
      <c r="BKS204" s="605"/>
      <c r="BKT204" s="605"/>
      <c r="BKU204" s="605"/>
      <c r="BKV204" s="605"/>
      <c r="BKW204" s="605"/>
      <c r="BKX204" s="605"/>
      <c r="BKY204" s="605"/>
      <c r="BKZ204" s="605"/>
      <c r="BLA204" s="605"/>
      <c r="BLB204" s="605"/>
      <c r="BLC204" s="605"/>
      <c r="BLD204" s="605"/>
      <c r="BLE204" s="605"/>
      <c r="BLF204" s="605"/>
      <c r="BLG204" s="605"/>
      <c r="BLH204" s="605"/>
      <c r="BLI204" s="605"/>
      <c r="BLJ204" s="605"/>
      <c r="BLK204" s="605"/>
      <c r="BLL204" s="605"/>
      <c r="BLM204" s="605"/>
      <c r="BLN204" s="605"/>
      <c r="BLO204" s="605"/>
      <c r="BLP204" s="605"/>
      <c r="BLQ204" s="605"/>
      <c r="BLR204" s="605"/>
      <c r="BLS204" s="605"/>
      <c r="BLT204" s="605"/>
      <c r="BLU204" s="605"/>
      <c r="BLV204" s="605"/>
      <c r="BLW204" s="605"/>
      <c r="BLX204" s="605"/>
      <c r="BLY204" s="605"/>
      <c r="BLZ204" s="605"/>
      <c r="BMA204" s="605"/>
      <c r="BMB204" s="605"/>
      <c r="BMC204" s="605"/>
      <c r="BMD204" s="605"/>
      <c r="BME204" s="605"/>
      <c r="BMF204" s="605"/>
      <c r="BMG204" s="605"/>
      <c r="BMH204" s="605"/>
      <c r="BMI204" s="605"/>
      <c r="BMJ204" s="605"/>
      <c r="BMK204" s="605"/>
      <c r="BML204" s="605"/>
      <c r="BMM204" s="605"/>
      <c r="BMN204" s="605"/>
      <c r="BMO204" s="605"/>
      <c r="BMP204" s="605"/>
      <c r="BMQ204" s="605"/>
      <c r="BMR204" s="605"/>
      <c r="BMS204" s="605"/>
      <c r="BMT204" s="605"/>
      <c r="BMU204" s="605"/>
      <c r="BMV204" s="605"/>
      <c r="BMW204" s="605"/>
      <c r="BMX204" s="605"/>
      <c r="BMY204" s="605"/>
      <c r="BMZ204" s="605"/>
      <c r="BNA204" s="605"/>
      <c r="BNB204" s="605"/>
      <c r="BNC204" s="605"/>
      <c r="BND204" s="605"/>
      <c r="BNE204" s="605"/>
      <c r="BNF204" s="605"/>
      <c r="BNG204" s="605"/>
      <c r="BNH204" s="605"/>
      <c r="BNI204" s="605"/>
      <c r="BNJ204" s="605"/>
      <c r="BNK204" s="605"/>
      <c r="BNL204" s="605"/>
      <c r="BNM204" s="605"/>
      <c r="BNN204" s="605"/>
      <c r="BNO204" s="605"/>
      <c r="BNP204" s="605"/>
      <c r="BNQ204" s="605"/>
      <c r="BNR204" s="605"/>
      <c r="BNS204" s="605"/>
      <c r="BNT204" s="605"/>
      <c r="BNU204" s="605"/>
      <c r="BNV204" s="605"/>
      <c r="BNW204" s="605"/>
      <c r="BNX204" s="605"/>
      <c r="BNY204" s="605"/>
      <c r="BNZ204" s="605"/>
      <c r="BOA204" s="605"/>
      <c r="BOB204" s="605"/>
      <c r="BOC204" s="605"/>
      <c r="BOD204" s="605"/>
      <c r="BOE204" s="605"/>
      <c r="BOF204" s="605"/>
      <c r="BOG204" s="605"/>
      <c r="BOH204" s="605"/>
      <c r="BOI204" s="605"/>
      <c r="BOJ204" s="605"/>
      <c r="BOK204" s="605"/>
      <c r="BOL204" s="605"/>
      <c r="BOM204" s="605"/>
      <c r="BON204" s="605"/>
      <c r="BOO204" s="605"/>
      <c r="BOP204" s="605"/>
      <c r="BOQ204" s="605"/>
      <c r="BOR204" s="605"/>
      <c r="BOS204" s="605"/>
      <c r="BOT204" s="605"/>
      <c r="BOU204" s="605"/>
      <c r="BOV204" s="605"/>
      <c r="BOW204" s="605"/>
      <c r="BOX204" s="605"/>
      <c r="BOY204" s="605"/>
      <c r="BOZ204" s="605"/>
      <c r="BPA204" s="605"/>
      <c r="BPB204" s="605"/>
      <c r="BPC204" s="605"/>
      <c r="BPD204" s="605"/>
      <c r="BPE204" s="605"/>
      <c r="BPF204" s="605"/>
      <c r="BPG204" s="605"/>
      <c r="BPH204" s="605"/>
      <c r="BPI204" s="605"/>
      <c r="BPJ204" s="605"/>
      <c r="BPK204" s="605"/>
      <c r="BPL204" s="605"/>
      <c r="BPM204" s="605"/>
      <c r="BPN204" s="605"/>
      <c r="BPO204" s="605"/>
      <c r="BPP204" s="605"/>
      <c r="BPQ204" s="605"/>
      <c r="BPR204" s="605"/>
      <c r="BPS204" s="605"/>
      <c r="BPT204" s="605"/>
      <c r="BPU204" s="605"/>
      <c r="BPV204" s="605"/>
      <c r="BPW204" s="605"/>
      <c r="BPX204" s="605"/>
      <c r="BPY204" s="605"/>
      <c r="BPZ204" s="605"/>
      <c r="BQA204" s="605"/>
      <c r="BQB204" s="605"/>
      <c r="BQC204" s="605"/>
      <c r="BQD204" s="605"/>
      <c r="BQE204" s="605"/>
      <c r="BQF204" s="605"/>
      <c r="BQG204" s="605"/>
      <c r="BQH204" s="605"/>
      <c r="BQI204" s="605"/>
      <c r="BQJ204" s="605"/>
      <c r="BQK204" s="605"/>
      <c r="BQL204" s="605"/>
      <c r="BQM204" s="605"/>
      <c r="BQN204" s="605"/>
      <c r="BQO204" s="605"/>
      <c r="BQP204" s="605"/>
      <c r="BQQ204" s="605"/>
      <c r="BQR204" s="605"/>
      <c r="BQS204" s="605"/>
      <c r="BQT204" s="605"/>
      <c r="BQU204" s="605"/>
      <c r="BQV204" s="605"/>
      <c r="BQW204" s="605"/>
      <c r="BQX204" s="605"/>
      <c r="BQY204" s="605"/>
      <c r="BQZ204" s="605"/>
      <c r="BRA204" s="605"/>
      <c r="BRB204" s="605"/>
      <c r="BRC204" s="605"/>
      <c r="BRD204" s="605"/>
      <c r="BRE204" s="605"/>
      <c r="BRF204" s="605"/>
      <c r="BRG204" s="605"/>
      <c r="BRH204" s="605"/>
      <c r="BRI204" s="605"/>
      <c r="BRJ204" s="605"/>
      <c r="BRK204" s="605"/>
      <c r="BRL204" s="605"/>
      <c r="BRM204" s="605"/>
      <c r="BRN204" s="605"/>
      <c r="BRO204" s="605"/>
      <c r="BRP204" s="605"/>
      <c r="BRQ204" s="605"/>
      <c r="BRR204" s="605"/>
      <c r="BRS204" s="605"/>
      <c r="BRT204" s="605"/>
      <c r="BRU204" s="605"/>
      <c r="BRV204" s="605"/>
      <c r="BRW204" s="605"/>
      <c r="BRX204" s="605"/>
      <c r="BRY204" s="605"/>
      <c r="BRZ204" s="605"/>
      <c r="BSA204" s="605"/>
      <c r="BSB204" s="605"/>
      <c r="BSC204" s="605"/>
      <c r="BSD204" s="605"/>
      <c r="BSE204" s="605"/>
      <c r="BSF204" s="605"/>
      <c r="BSG204" s="605"/>
      <c r="BSH204" s="605"/>
      <c r="BSI204" s="605"/>
      <c r="BSJ204" s="605"/>
      <c r="BSK204" s="605"/>
      <c r="BSL204" s="605"/>
      <c r="BSM204" s="605"/>
      <c r="BSN204" s="605"/>
      <c r="BSO204" s="605"/>
      <c r="BSP204" s="605"/>
      <c r="BSQ204" s="605"/>
      <c r="BSR204" s="605"/>
      <c r="BSS204" s="605"/>
      <c r="BST204" s="605"/>
      <c r="BSU204" s="605"/>
      <c r="BSV204" s="605"/>
      <c r="BSW204" s="605"/>
      <c r="BSX204" s="605"/>
      <c r="BSY204" s="605"/>
      <c r="BSZ204" s="605"/>
      <c r="BTA204" s="605"/>
      <c r="BTB204" s="605"/>
      <c r="BTC204" s="605"/>
      <c r="BTD204" s="605"/>
      <c r="BTE204" s="605"/>
      <c r="BTF204" s="605"/>
      <c r="BTG204" s="605"/>
      <c r="BTH204" s="605"/>
      <c r="BTI204" s="605"/>
      <c r="BTJ204" s="605"/>
      <c r="BTK204" s="605"/>
      <c r="BTL204" s="605"/>
      <c r="BTM204" s="605"/>
      <c r="BTN204" s="605"/>
      <c r="BTO204" s="605"/>
      <c r="BTP204" s="605"/>
      <c r="BTQ204" s="605"/>
      <c r="BTR204" s="605"/>
      <c r="BTS204" s="605"/>
      <c r="BTT204" s="605"/>
      <c r="BTU204" s="605"/>
      <c r="BTV204" s="605"/>
      <c r="BTW204" s="605"/>
      <c r="BTX204" s="605"/>
      <c r="BTY204" s="605"/>
      <c r="BTZ204" s="605"/>
      <c r="BUA204" s="605"/>
      <c r="BUB204" s="605"/>
      <c r="BUC204" s="605"/>
      <c r="BUD204" s="605"/>
      <c r="BUE204" s="605"/>
      <c r="BUF204" s="605"/>
      <c r="BUG204" s="605"/>
      <c r="BUH204" s="605"/>
      <c r="BUI204" s="605"/>
      <c r="BUJ204" s="605"/>
      <c r="BUK204" s="605"/>
      <c r="BUL204" s="605"/>
      <c r="BUM204" s="605"/>
      <c r="BUN204" s="605"/>
      <c r="BUO204" s="605"/>
      <c r="BUP204" s="605"/>
      <c r="BUQ204" s="605"/>
      <c r="BUR204" s="605"/>
      <c r="BUS204" s="605"/>
      <c r="BUT204" s="605"/>
      <c r="BUU204" s="605"/>
      <c r="BUV204" s="605"/>
      <c r="BUW204" s="605"/>
      <c r="BUX204" s="605"/>
      <c r="BUY204" s="605"/>
      <c r="BUZ204" s="605"/>
      <c r="BVA204" s="605"/>
      <c r="BVB204" s="605"/>
      <c r="BVC204" s="605"/>
      <c r="BVD204" s="605"/>
      <c r="BVE204" s="605"/>
      <c r="BVF204" s="605"/>
      <c r="BVG204" s="605"/>
      <c r="BVH204" s="605"/>
      <c r="BVI204" s="605"/>
      <c r="BVJ204" s="605"/>
      <c r="BVK204" s="605"/>
      <c r="BVL204" s="605"/>
      <c r="BVM204" s="605"/>
      <c r="BVN204" s="605"/>
      <c r="BVO204" s="605"/>
      <c r="BVP204" s="605"/>
      <c r="BVQ204" s="605"/>
      <c r="BVR204" s="605"/>
      <c r="BVS204" s="605"/>
      <c r="BVT204" s="605"/>
      <c r="BVU204" s="605"/>
      <c r="BVV204" s="605"/>
      <c r="BVW204" s="605"/>
      <c r="BVX204" s="605"/>
      <c r="BVY204" s="605"/>
      <c r="BVZ204" s="605"/>
      <c r="BWA204" s="605"/>
      <c r="BWB204" s="605"/>
      <c r="BWC204" s="605"/>
      <c r="BWD204" s="605"/>
      <c r="BWE204" s="605"/>
      <c r="BWF204" s="605"/>
      <c r="BWG204" s="605"/>
      <c r="BWH204" s="605"/>
      <c r="BWI204" s="605"/>
      <c r="BWJ204" s="605"/>
      <c r="BWK204" s="605"/>
      <c r="BWL204" s="605"/>
      <c r="BWM204" s="605"/>
      <c r="BWN204" s="605"/>
      <c r="BWO204" s="605"/>
      <c r="BWP204" s="605"/>
      <c r="BWQ204" s="605"/>
      <c r="BWR204" s="605"/>
      <c r="BWS204" s="605"/>
      <c r="BWT204" s="605"/>
      <c r="BWU204" s="605"/>
      <c r="BWV204" s="605"/>
      <c r="BWW204" s="605"/>
      <c r="BWX204" s="605"/>
      <c r="BWY204" s="605"/>
      <c r="BWZ204" s="605"/>
      <c r="BXA204" s="605"/>
      <c r="BXB204" s="605"/>
      <c r="BXC204" s="605"/>
      <c r="BXD204" s="605"/>
      <c r="BXE204" s="605"/>
      <c r="BXF204" s="605"/>
      <c r="BXG204" s="605"/>
      <c r="BXH204" s="605"/>
      <c r="BXI204" s="605"/>
      <c r="BXJ204" s="605"/>
      <c r="BXK204" s="605"/>
      <c r="BXL204" s="605"/>
      <c r="BXM204" s="605"/>
      <c r="BXN204" s="605"/>
      <c r="BXO204" s="605"/>
      <c r="BXP204" s="605"/>
      <c r="BXQ204" s="605"/>
      <c r="BXR204" s="605"/>
      <c r="BXS204" s="605"/>
      <c r="BXT204" s="605"/>
      <c r="BXU204" s="605"/>
      <c r="BXV204" s="605"/>
      <c r="BXW204" s="605"/>
      <c r="BXX204" s="605"/>
      <c r="BXY204" s="605"/>
      <c r="BXZ204" s="605"/>
      <c r="BYA204" s="605"/>
      <c r="BYB204" s="605"/>
      <c r="BYC204" s="605"/>
      <c r="BYD204" s="605"/>
      <c r="BYE204" s="605"/>
      <c r="BYF204" s="605"/>
      <c r="BYG204" s="605"/>
      <c r="BYH204" s="605"/>
      <c r="BYI204" s="605"/>
      <c r="BYJ204" s="605"/>
      <c r="BYK204" s="605"/>
      <c r="BYL204" s="605"/>
      <c r="BYM204" s="605"/>
      <c r="BYN204" s="605"/>
      <c r="BYO204" s="605"/>
      <c r="BYP204" s="605"/>
      <c r="BYQ204" s="605"/>
      <c r="BYR204" s="605"/>
      <c r="BYS204" s="605"/>
      <c r="BYT204" s="605"/>
      <c r="BYU204" s="605"/>
      <c r="BYV204" s="605"/>
      <c r="BYW204" s="605"/>
      <c r="BYX204" s="605"/>
      <c r="BYY204" s="605"/>
      <c r="BYZ204" s="605"/>
      <c r="BZA204" s="605"/>
      <c r="BZB204" s="605"/>
      <c r="BZC204" s="605"/>
      <c r="BZD204" s="605"/>
      <c r="BZE204" s="605"/>
      <c r="BZF204" s="605"/>
      <c r="BZG204" s="605"/>
      <c r="BZH204" s="605"/>
      <c r="BZI204" s="605"/>
      <c r="BZJ204" s="605"/>
      <c r="BZK204" s="605"/>
      <c r="BZL204" s="605"/>
      <c r="BZM204" s="605"/>
      <c r="BZN204" s="605"/>
      <c r="BZO204" s="605"/>
      <c r="BZP204" s="605"/>
      <c r="BZQ204" s="605"/>
      <c r="BZR204" s="605"/>
      <c r="BZS204" s="605"/>
      <c r="BZT204" s="605"/>
      <c r="BZU204" s="605"/>
      <c r="BZV204" s="605"/>
      <c r="BZW204" s="605"/>
      <c r="BZX204" s="605"/>
      <c r="BZY204" s="605"/>
      <c r="BZZ204" s="605"/>
      <c r="CAA204" s="605"/>
      <c r="CAB204" s="605"/>
      <c r="CAC204" s="605"/>
      <c r="CAD204" s="605"/>
      <c r="CAE204" s="605"/>
      <c r="CAF204" s="605"/>
      <c r="CAG204" s="605"/>
      <c r="CAH204" s="605"/>
      <c r="CAI204" s="605"/>
      <c r="CAJ204" s="605"/>
      <c r="CAK204" s="605"/>
      <c r="CAL204" s="605"/>
      <c r="CAM204" s="605"/>
      <c r="CAN204" s="605"/>
      <c r="CAO204" s="605"/>
      <c r="CAP204" s="605"/>
      <c r="CAQ204" s="605"/>
      <c r="CAR204" s="605"/>
      <c r="CAS204" s="605"/>
      <c r="CAT204" s="605"/>
      <c r="CAU204" s="605"/>
      <c r="CAV204" s="605"/>
      <c r="CAW204" s="605"/>
      <c r="CAX204" s="605"/>
      <c r="CAY204" s="605"/>
      <c r="CAZ204" s="605"/>
      <c r="CBA204" s="605"/>
      <c r="CBB204" s="605"/>
      <c r="CBC204" s="605"/>
      <c r="CBD204" s="605"/>
      <c r="CBE204" s="605"/>
      <c r="CBF204" s="605"/>
      <c r="CBG204" s="605"/>
      <c r="CBH204" s="605"/>
      <c r="CBI204" s="605"/>
      <c r="CBJ204" s="605"/>
      <c r="CBK204" s="605"/>
      <c r="CBL204" s="605"/>
      <c r="CBM204" s="605"/>
      <c r="CBN204" s="605"/>
      <c r="CBO204" s="605"/>
      <c r="CBP204" s="605"/>
      <c r="CBQ204" s="605"/>
      <c r="CBR204" s="605"/>
      <c r="CBS204" s="605"/>
      <c r="CBT204" s="605"/>
      <c r="CBU204" s="605"/>
      <c r="CBV204" s="605"/>
      <c r="CBW204" s="605"/>
      <c r="CBX204" s="605"/>
      <c r="CBY204" s="605"/>
      <c r="CBZ204" s="605"/>
      <c r="CCA204" s="605"/>
      <c r="CCB204" s="605"/>
      <c r="CCC204" s="605"/>
      <c r="CCD204" s="605"/>
      <c r="CCE204" s="605"/>
      <c r="CCF204" s="605"/>
      <c r="CCG204" s="605"/>
      <c r="CCH204" s="605"/>
      <c r="CCI204" s="605"/>
      <c r="CCJ204" s="605"/>
      <c r="CCK204" s="605"/>
      <c r="CCL204" s="605"/>
      <c r="CCM204" s="605"/>
      <c r="CCN204" s="605"/>
      <c r="CCO204" s="605"/>
      <c r="CCP204" s="605"/>
      <c r="CCQ204" s="605"/>
      <c r="CCR204" s="605"/>
      <c r="CCS204" s="605"/>
      <c r="CCT204" s="605"/>
      <c r="CCU204" s="605"/>
      <c r="CCV204" s="605"/>
      <c r="CCW204" s="605"/>
      <c r="CCX204" s="605"/>
      <c r="CCY204" s="605"/>
      <c r="CCZ204" s="605"/>
      <c r="CDA204" s="605"/>
      <c r="CDB204" s="605"/>
      <c r="CDC204" s="605"/>
      <c r="CDD204" s="605"/>
      <c r="CDE204" s="605"/>
      <c r="CDF204" s="605"/>
      <c r="CDG204" s="605"/>
      <c r="CDH204" s="605"/>
      <c r="CDI204" s="605"/>
      <c r="CDJ204" s="605"/>
      <c r="CDK204" s="605"/>
      <c r="CDL204" s="605"/>
      <c r="CDM204" s="605"/>
      <c r="CDN204" s="605"/>
      <c r="CDO204" s="605"/>
      <c r="CDP204" s="605"/>
      <c r="CDQ204" s="605"/>
      <c r="CDR204" s="605"/>
      <c r="CDS204" s="605"/>
      <c r="CDT204" s="605"/>
      <c r="CDU204" s="605"/>
      <c r="CDV204" s="605"/>
      <c r="CDW204" s="605"/>
      <c r="CDX204" s="605"/>
      <c r="CDY204" s="605"/>
      <c r="CDZ204" s="605"/>
      <c r="CEA204" s="605"/>
      <c r="CEB204" s="605"/>
      <c r="CEC204" s="605"/>
      <c r="CED204" s="605"/>
      <c r="CEE204" s="605"/>
      <c r="CEF204" s="605"/>
      <c r="CEG204" s="605"/>
      <c r="CEH204" s="605"/>
      <c r="CEI204" s="605"/>
      <c r="CEJ204" s="605"/>
      <c r="CEK204" s="605"/>
      <c r="CEL204" s="605"/>
      <c r="CEM204" s="605"/>
      <c r="CEN204" s="605"/>
      <c r="CEO204" s="605"/>
      <c r="CEP204" s="605"/>
      <c r="CEQ204" s="605"/>
      <c r="CER204" s="605"/>
      <c r="CES204" s="605"/>
      <c r="CET204" s="605"/>
      <c r="CEU204" s="605"/>
      <c r="CEV204" s="605"/>
      <c r="CEW204" s="605"/>
      <c r="CEX204" s="605"/>
      <c r="CEY204" s="605"/>
      <c r="CEZ204" s="605"/>
      <c r="CFA204" s="605"/>
      <c r="CFB204" s="605"/>
      <c r="CFC204" s="605"/>
      <c r="CFD204" s="605"/>
      <c r="CFE204" s="605"/>
      <c r="CFF204" s="605"/>
      <c r="CFG204" s="605"/>
      <c r="CFH204" s="605"/>
      <c r="CFI204" s="605"/>
      <c r="CFJ204" s="605"/>
      <c r="CFK204" s="605"/>
      <c r="CFL204" s="605"/>
      <c r="CFM204" s="605"/>
      <c r="CFN204" s="605"/>
      <c r="CFO204" s="605"/>
      <c r="CFP204" s="605"/>
      <c r="CFQ204" s="605"/>
      <c r="CFR204" s="605"/>
      <c r="CFS204" s="605"/>
      <c r="CFT204" s="605"/>
      <c r="CFU204" s="605"/>
      <c r="CFV204" s="605"/>
      <c r="CFW204" s="605"/>
      <c r="CFX204" s="605"/>
      <c r="CFY204" s="605"/>
      <c r="CFZ204" s="605"/>
      <c r="CGA204" s="605"/>
      <c r="CGB204" s="605"/>
      <c r="CGC204" s="605"/>
      <c r="CGD204" s="605"/>
      <c r="CGE204" s="605"/>
      <c r="CGF204" s="605"/>
      <c r="CGG204" s="605"/>
      <c r="CGH204" s="605"/>
      <c r="CGI204" s="605"/>
      <c r="CGJ204" s="605"/>
      <c r="CGK204" s="605"/>
      <c r="CGL204" s="605"/>
      <c r="CGM204" s="605"/>
      <c r="CGN204" s="605"/>
      <c r="CGO204" s="605"/>
      <c r="CGP204" s="605"/>
      <c r="CGQ204" s="605"/>
      <c r="CGR204" s="605"/>
      <c r="CGS204" s="605"/>
      <c r="CGT204" s="605"/>
      <c r="CGU204" s="605"/>
      <c r="CGV204" s="605"/>
      <c r="CGW204" s="605"/>
      <c r="CGX204" s="605"/>
      <c r="CGY204" s="605"/>
      <c r="CGZ204" s="605"/>
      <c r="CHA204" s="605"/>
      <c r="CHB204" s="605"/>
      <c r="CHC204" s="605"/>
      <c r="CHD204" s="605"/>
      <c r="CHE204" s="605"/>
      <c r="CHF204" s="605"/>
      <c r="CHG204" s="605"/>
      <c r="CHH204" s="605"/>
      <c r="CHI204" s="605"/>
      <c r="CHJ204" s="605"/>
      <c r="CHK204" s="605"/>
      <c r="CHL204" s="605"/>
      <c r="CHM204" s="605"/>
      <c r="CHN204" s="605"/>
      <c r="CHO204" s="605"/>
      <c r="CHP204" s="605"/>
      <c r="CHQ204" s="605"/>
      <c r="CHR204" s="605"/>
      <c r="CHS204" s="605"/>
      <c r="CHT204" s="605"/>
      <c r="CHU204" s="605"/>
      <c r="CHV204" s="605"/>
      <c r="CHW204" s="605"/>
      <c r="CHX204" s="605"/>
      <c r="CHY204" s="605"/>
      <c r="CHZ204" s="605"/>
      <c r="CIA204" s="605"/>
      <c r="CIB204" s="605"/>
      <c r="CIC204" s="605"/>
      <c r="CID204" s="605"/>
      <c r="CIE204" s="605"/>
      <c r="CIF204" s="605"/>
      <c r="CIG204" s="605"/>
      <c r="CIH204" s="605"/>
      <c r="CII204" s="605"/>
      <c r="CIJ204" s="605"/>
      <c r="CIK204" s="605"/>
      <c r="CIL204" s="605"/>
      <c r="CIM204" s="605"/>
      <c r="CIN204" s="605"/>
      <c r="CIO204" s="605"/>
      <c r="CIP204" s="605"/>
      <c r="CIQ204" s="605"/>
      <c r="CIR204" s="605"/>
      <c r="CIS204" s="605"/>
      <c r="CIT204" s="605"/>
      <c r="CIU204" s="605"/>
      <c r="CIV204" s="605"/>
      <c r="CIW204" s="605"/>
      <c r="CIX204" s="605"/>
      <c r="CIY204" s="605"/>
      <c r="CIZ204" s="605"/>
      <c r="CJA204" s="605"/>
      <c r="CJB204" s="605"/>
      <c r="CJC204" s="605"/>
      <c r="CJD204" s="605"/>
      <c r="CJE204" s="605"/>
      <c r="CJF204" s="605"/>
      <c r="CJG204" s="605"/>
      <c r="CJH204" s="605"/>
      <c r="CJI204" s="605"/>
      <c r="CJJ204" s="605"/>
      <c r="CJK204" s="605"/>
      <c r="CJL204" s="605"/>
      <c r="CJM204" s="605"/>
      <c r="CJN204" s="605"/>
      <c r="CJO204" s="605"/>
      <c r="CJP204" s="605"/>
      <c r="CJQ204" s="605"/>
      <c r="CJR204" s="605"/>
      <c r="CJS204" s="605"/>
      <c r="CJT204" s="605"/>
      <c r="CJU204" s="605"/>
      <c r="CJV204" s="605"/>
      <c r="CJW204" s="605"/>
      <c r="CJX204" s="605"/>
      <c r="CJY204" s="605"/>
      <c r="CJZ204" s="605"/>
      <c r="CKA204" s="605"/>
      <c r="CKB204" s="605"/>
      <c r="CKC204" s="605"/>
      <c r="CKD204" s="605"/>
      <c r="CKE204" s="605"/>
      <c r="CKF204" s="605"/>
      <c r="CKG204" s="605"/>
      <c r="CKH204" s="605"/>
      <c r="CKI204" s="605"/>
      <c r="CKJ204" s="605"/>
      <c r="CKK204" s="605"/>
      <c r="CKL204" s="605"/>
      <c r="CKM204" s="605"/>
      <c r="CKN204" s="605"/>
      <c r="CKO204" s="605"/>
      <c r="CKP204" s="605"/>
      <c r="CKQ204" s="605"/>
      <c r="CKR204" s="605"/>
      <c r="CKS204" s="605"/>
      <c r="CKT204" s="605"/>
      <c r="CKU204" s="605"/>
      <c r="CKV204" s="605"/>
      <c r="CKW204" s="605"/>
      <c r="CKX204" s="605"/>
      <c r="CKY204" s="605"/>
      <c r="CKZ204" s="605"/>
      <c r="CLA204" s="605"/>
      <c r="CLB204" s="605"/>
      <c r="CLC204" s="605"/>
      <c r="CLD204" s="605"/>
      <c r="CLE204" s="605"/>
      <c r="CLF204" s="605"/>
      <c r="CLG204" s="605"/>
      <c r="CLH204" s="605"/>
      <c r="CLI204" s="605"/>
      <c r="CLJ204" s="605"/>
      <c r="CLK204" s="605"/>
      <c r="CLL204" s="605"/>
      <c r="CLM204" s="605"/>
      <c r="CLN204" s="605"/>
      <c r="CLO204" s="605"/>
      <c r="CLP204" s="605"/>
      <c r="CLQ204" s="605"/>
      <c r="CLR204" s="605"/>
      <c r="CLS204" s="605"/>
      <c r="CLT204" s="605"/>
      <c r="CLU204" s="605"/>
      <c r="CLV204" s="605"/>
      <c r="CLW204" s="605"/>
      <c r="CLX204" s="605"/>
      <c r="CLY204" s="605"/>
      <c r="CLZ204" s="605"/>
      <c r="CMA204" s="605"/>
      <c r="CMB204" s="605"/>
      <c r="CMC204" s="605"/>
      <c r="CMD204" s="605"/>
      <c r="CME204" s="605"/>
      <c r="CMF204" s="605"/>
      <c r="CMG204" s="605"/>
      <c r="CMH204" s="605"/>
      <c r="CMI204" s="605"/>
      <c r="CMJ204" s="605"/>
      <c r="CMK204" s="605"/>
      <c r="CML204" s="605"/>
      <c r="CMM204" s="605"/>
      <c r="CMN204" s="605"/>
      <c r="CMO204" s="605"/>
      <c r="CMP204" s="605"/>
      <c r="CMQ204" s="605"/>
      <c r="CMR204" s="605"/>
      <c r="CMS204" s="605"/>
      <c r="CMT204" s="605"/>
      <c r="CMU204" s="605"/>
      <c r="CMV204" s="605"/>
      <c r="CMW204" s="605"/>
      <c r="CMX204" s="605"/>
      <c r="CMY204" s="605"/>
      <c r="CMZ204" s="605"/>
      <c r="CNA204" s="605"/>
      <c r="CNB204" s="605"/>
      <c r="CNC204" s="605"/>
      <c r="CND204" s="605"/>
      <c r="CNE204" s="605"/>
      <c r="CNF204" s="605"/>
      <c r="CNG204" s="605"/>
      <c r="CNH204" s="605"/>
      <c r="CNI204" s="605"/>
      <c r="CNJ204" s="605"/>
      <c r="CNK204" s="605"/>
      <c r="CNL204" s="605"/>
      <c r="CNM204" s="605"/>
      <c r="CNN204" s="605"/>
      <c r="CNO204" s="605"/>
      <c r="CNP204" s="605"/>
      <c r="CNQ204" s="605"/>
      <c r="CNR204" s="605"/>
      <c r="CNS204" s="605"/>
      <c r="CNT204" s="605"/>
      <c r="CNU204" s="605"/>
      <c r="CNV204" s="605"/>
      <c r="CNW204" s="605"/>
      <c r="CNX204" s="605"/>
      <c r="CNY204" s="605"/>
      <c r="CNZ204" s="605"/>
      <c r="COA204" s="605"/>
      <c r="COB204" s="605"/>
      <c r="COC204" s="605"/>
      <c r="COD204" s="605"/>
      <c r="COE204" s="605"/>
      <c r="COF204" s="605"/>
      <c r="COG204" s="605"/>
      <c r="COH204" s="605"/>
      <c r="COI204" s="605"/>
      <c r="COJ204" s="605"/>
      <c r="COK204" s="605"/>
      <c r="COL204" s="605"/>
      <c r="COM204" s="605"/>
      <c r="CON204" s="605"/>
      <c r="COO204" s="605"/>
      <c r="COP204" s="605"/>
      <c r="COQ204" s="605"/>
      <c r="COR204" s="605"/>
      <c r="COS204" s="605"/>
      <c r="COT204" s="605"/>
      <c r="COU204" s="605"/>
      <c r="COV204" s="605"/>
      <c r="COW204" s="605"/>
      <c r="COX204" s="605"/>
      <c r="COY204" s="605"/>
      <c r="COZ204" s="605"/>
      <c r="CPA204" s="605"/>
      <c r="CPB204" s="605"/>
      <c r="CPC204" s="605"/>
      <c r="CPD204" s="605"/>
      <c r="CPE204" s="605"/>
      <c r="CPF204" s="605"/>
      <c r="CPG204" s="605"/>
      <c r="CPH204" s="605"/>
      <c r="CPI204" s="605"/>
      <c r="CPJ204" s="605"/>
      <c r="CPK204" s="605"/>
      <c r="CPL204" s="605"/>
      <c r="CPM204" s="605"/>
      <c r="CPN204" s="605"/>
      <c r="CPO204" s="605"/>
      <c r="CPP204" s="605"/>
      <c r="CPQ204" s="605"/>
      <c r="CPR204" s="605"/>
      <c r="CPS204" s="605"/>
      <c r="CPT204" s="605"/>
      <c r="CPU204" s="605"/>
      <c r="CPV204" s="605"/>
      <c r="CPW204" s="605"/>
      <c r="CPX204" s="605"/>
      <c r="CPY204" s="605"/>
      <c r="CPZ204" s="605"/>
      <c r="CQA204" s="605"/>
      <c r="CQB204" s="605"/>
      <c r="CQC204" s="605"/>
      <c r="CQD204" s="605"/>
      <c r="CQE204" s="605"/>
      <c r="CQF204" s="605"/>
      <c r="CQG204" s="605"/>
      <c r="CQH204" s="605"/>
      <c r="CQI204" s="605"/>
      <c r="CQJ204" s="605"/>
      <c r="CQK204" s="605"/>
      <c r="CQL204" s="605"/>
      <c r="CQM204" s="605"/>
      <c r="CQN204" s="605"/>
      <c r="CQO204" s="605"/>
      <c r="CQP204" s="605"/>
      <c r="CQQ204" s="605"/>
      <c r="CQR204" s="605"/>
      <c r="CQS204" s="605"/>
      <c r="CQT204" s="605"/>
      <c r="CQU204" s="605"/>
      <c r="CQV204" s="605"/>
      <c r="CQW204" s="605"/>
      <c r="CQX204" s="605"/>
      <c r="CQY204" s="605"/>
      <c r="CQZ204" s="605"/>
      <c r="CRA204" s="605"/>
      <c r="CRB204" s="605"/>
      <c r="CRC204" s="605"/>
      <c r="CRD204" s="605"/>
      <c r="CRE204" s="605"/>
      <c r="CRF204" s="605"/>
      <c r="CRG204" s="605"/>
      <c r="CRH204" s="605"/>
      <c r="CRI204" s="605"/>
      <c r="CRJ204" s="605"/>
      <c r="CRK204" s="605"/>
      <c r="CRL204" s="605"/>
      <c r="CRM204" s="605"/>
      <c r="CRN204" s="605"/>
      <c r="CRO204" s="605"/>
      <c r="CRP204" s="605"/>
      <c r="CRQ204" s="605"/>
      <c r="CRR204" s="605"/>
      <c r="CRS204" s="605"/>
      <c r="CRT204" s="605"/>
      <c r="CRU204" s="605"/>
      <c r="CRV204" s="605"/>
      <c r="CRW204" s="605"/>
      <c r="CRX204" s="605"/>
      <c r="CRY204" s="605"/>
      <c r="CRZ204" s="605"/>
      <c r="CSA204" s="605"/>
      <c r="CSB204" s="605"/>
      <c r="CSC204" s="605"/>
      <c r="CSD204" s="605"/>
      <c r="CSE204" s="605"/>
      <c r="CSF204" s="605"/>
      <c r="CSG204" s="605"/>
      <c r="CSH204" s="605"/>
      <c r="CSI204" s="605"/>
      <c r="CSJ204" s="605"/>
      <c r="CSK204" s="605"/>
      <c r="CSL204" s="605"/>
      <c r="CSM204" s="605"/>
      <c r="CSN204" s="605"/>
      <c r="CSO204" s="605"/>
      <c r="CSP204" s="605"/>
      <c r="CSQ204" s="605"/>
      <c r="CSR204" s="605"/>
      <c r="CSS204" s="605"/>
      <c r="CST204" s="605"/>
      <c r="CSU204" s="605"/>
      <c r="CSV204" s="605"/>
      <c r="CSW204" s="605"/>
      <c r="CSX204" s="605"/>
      <c r="CSY204" s="605"/>
      <c r="CSZ204" s="605"/>
      <c r="CTA204" s="605"/>
      <c r="CTB204" s="605"/>
      <c r="CTC204" s="605"/>
      <c r="CTD204" s="605"/>
      <c r="CTE204" s="605"/>
      <c r="CTF204" s="605"/>
      <c r="CTG204" s="605"/>
      <c r="CTH204" s="605"/>
      <c r="CTI204" s="605"/>
      <c r="CTJ204" s="605"/>
      <c r="CTK204" s="605"/>
      <c r="CTL204" s="605"/>
      <c r="CTM204" s="605"/>
      <c r="CTN204" s="605"/>
      <c r="CTO204" s="605"/>
      <c r="CTP204" s="605"/>
      <c r="CTQ204" s="605"/>
      <c r="CTR204" s="605"/>
      <c r="CTS204" s="605"/>
      <c r="CTT204" s="605"/>
      <c r="CTU204" s="605"/>
      <c r="CTV204" s="605"/>
      <c r="CTW204" s="605"/>
      <c r="CTX204" s="605"/>
      <c r="CTY204" s="605"/>
      <c r="CTZ204" s="605"/>
      <c r="CUA204" s="605"/>
      <c r="CUB204" s="605"/>
      <c r="CUC204" s="605"/>
      <c r="CUD204" s="605"/>
      <c r="CUE204" s="605"/>
      <c r="CUF204" s="605"/>
      <c r="CUG204" s="605"/>
      <c r="CUH204" s="605"/>
      <c r="CUI204" s="605"/>
      <c r="CUJ204" s="605"/>
      <c r="CUK204" s="605"/>
      <c r="CUL204" s="605"/>
      <c r="CUM204" s="605"/>
      <c r="CUN204" s="605"/>
      <c r="CUO204" s="605"/>
      <c r="CUP204" s="605"/>
      <c r="CUQ204" s="605"/>
      <c r="CUR204" s="605"/>
      <c r="CUS204" s="605"/>
      <c r="CUT204" s="605"/>
      <c r="CUU204" s="605"/>
      <c r="CUV204" s="605"/>
      <c r="CUW204" s="605"/>
      <c r="CUX204" s="605"/>
      <c r="CUY204" s="605"/>
      <c r="CUZ204" s="605"/>
      <c r="CVA204" s="605"/>
      <c r="CVB204" s="605"/>
      <c r="CVC204" s="605"/>
      <c r="CVD204" s="605"/>
      <c r="CVE204" s="605"/>
      <c r="CVF204" s="605"/>
      <c r="CVG204" s="605"/>
      <c r="CVH204" s="605"/>
      <c r="CVI204" s="605"/>
      <c r="CVJ204" s="605"/>
      <c r="CVK204" s="605"/>
      <c r="CVL204" s="605"/>
      <c r="CVM204" s="605"/>
      <c r="CVN204" s="605"/>
      <c r="CVO204" s="605"/>
      <c r="CVP204" s="605"/>
      <c r="CVQ204" s="605"/>
      <c r="CVR204" s="605"/>
      <c r="CVS204" s="605"/>
      <c r="CVT204" s="605"/>
      <c r="CVU204" s="605"/>
      <c r="CVV204" s="605"/>
      <c r="CVW204" s="605"/>
      <c r="CVX204" s="605"/>
      <c r="CVY204" s="605"/>
      <c r="CVZ204" s="605"/>
      <c r="CWA204" s="605"/>
      <c r="CWB204" s="605"/>
      <c r="CWC204" s="605"/>
      <c r="CWD204" s="605"/>
      <c r="CWE204" s="605"/>
      <c r="CWF204" s="605"/>
      <c r="CWG204" s="605"/>
      <c r="CWH204" s="605"/>
      <c r="CWI204" s="605"/>
      <c r="CWJ204" s="605"/>
      <c r="CWK204" s="605"/>
      <c r="CWL204" s="605"/>
      <c r="CWM204" s="605"/>
      <c r="CWN204" s="605"/>
      <c r="CWO204" s="605"/>
      <c r="CWP204" s="605"/>
      <c r="CWQ204" s="605"/>
      <c r="CWR204" s="605"/>
      <c r="CWS204" s="605"/>
      <c r="CWT204" s="605"/>
      <c r="CWU204" s="605"/>
      <c r="CWV204" s="605"/>
      <c r="CWW204" s="605"/>
      <c r="CWX204" s="605"/>
      <c r="CWY204" s="605"/>
      <c r="CWZ204" s="605"/>
      <c r="CXA204" s="605"/>
      <c r="CXB204" s="605"/>
      <c r="CXC204" s="605"/>
      <c r="CXD204" s="605"/>
      <c r="CXE204" s="605"/>
      <c r="CXF204" s="605"/>
      <c r="CXG204" s="605"/>
      <c r="CXH204" s="605"/>
      <c r="CXI204" s="605"/>
      <c r="CXJ204" s="605"/>
      <c r="CXK204" s="605"/>
      <c r="CXL204" s="605"/>
      <c r="CXM204" s="605"/>
      <c r="CXN204" s="605"/>
      <c r="CXO204" s="605"/>
      <c r="CXP204" s="605"/>
      <c r="CXQ204" s="605"/>
      <c r="CXR204" s="605"/>
      <c r="CXS204" s="605"/>
      <c r="CXT204" s="605"/>
      <c r="CXU204" s="605"/>
      <c r="CXV204" s="605"/>
      <c r="CXW204" s="605"/>
      <c r="CXX204" s="605"/>
      <c r="CXY204" s="605"/>
      <c r="CXZ204" s="605"/>
      <c r="CYA204" s="605"/>
      <c r="CYB204" s="605"/>
      <c r="CYC204" s="605"/>
      <c r="CYD204" s="605"/>
      <c r="CYE204" s="605"/>
      <c r="CYF204" s="605"/>
      <c r="CYG204" s="605"/>
      <c r="CYH204" s="605"/>
      <c r="CYI204" s="605"/>
      <c r="CYJ204" s="605"/>
      <c r="CYK204" s="605"/>
      <c r="CYL204" s="605"/>
      <c r="CYM204" s="605"/>
      <c r="CYN204" s="605"/>
      <c r="CYO204" s="605"/>
      <c r="CYP204" s="605"/>
      <c r="CYQ204" s="605"/>
      <c r="CYR204" s="605"/>
      <c r="CYS204" s="605"/>
      <c r="CYT204" s="605"/>
      <c r="CYU204" s="605"/>
      <c r="CYV204" s="605"/>
      <c r="CYW204" s="605"/>
      <c r="CYX204" s="605"/>
      <c r="CYY204" s="605"/>
      <c r="CYZ204" s="605"/>
      <c r="CZA204" s="605"/>
      <c r="CZB204" s="605"/>
      <c r="CZC204" s="605"/>
      <c r="CZD204" s="605"/>
      <c r="CZE204" s="605"/>
      <c r="CZF204" s="605"/>
      <c r="CZG204" s="605"/>
      <c r="CZH204" s="605"/>
      <c r="CZI204" s="605"/>
      <c r="CZJ204" s="605"/>
      <c r="CZK204" s="605"/>
      <c r="CZL204" s="605"/>
      <c r="CZM204" s="605"/>
      <c r="CZN204" s="605"/>
      <c r="CZO204" s="605"/>
      <c r="CZP204" s="605"/>
      <c r="CZQ204" s="605"/>
      <c r="CZR204" s="605"/>
      <c r="CZS204" s="605"/>
      <c r="CZT204" s="605"/>
      <c r="CZU204" s="605"/>
      <c r="CZV204" s="605"/>
      <c r="CZW204" s="605"/>
      <c r="CZX204" s="605"/>
      <c r="CZY204" s="605"/>
      <c r="CZZ204" s="605"/>
      <c r="DAA204" s="605"/>
      <c r="DAB204" s="605"/>
      <c r="DAC204" s="605"/>
      <c r="DAD204" s="605"/>
      <c r="DAE204" s="605"/>
      <c r="DAF204" s="605"/>
      <c r="DAG204" s="605"/>
      <c r="DAH204" s="605"/>
      <c r="DAI204" s="605"/>
      <c r="DAJ204" s="605"/>
      <c r="DAK204" s="605"/>
      <c r="DAL204" s="605"/>
      <c r="DAM204" s="605"/>
      <c r="DAN204" s="605"/>
      <c r="DAO204" s="605"/>
      <c r="DAP204" s="605"/>
      <c r="DAQ204" s="605"/>
      <c r="DAR204" s="605"/>
      <c r="DAS204" s="605"/>
      <c r="DAT204" s="605"/>
      <c r="DAU204" s="605"/>
      <c r="DAV204" s="605"/>
      <c r="DAW204" s="605"/>
      <c r="DAX204" s="605"/>
      <c r="DAY204" s="605"/>
      <c r="DAZ204" s="605"/>
      <c r="DBA204" s="605"/>
      <c r="DBB204" s="605"/>
      <c r="DBC204" s="605"/>
      <c r="DBD204" s="605"/>
      <c r="DBE204" s="605"/>
      <c r="DBF204" s="605"/>
      <c r="DBG204" s="605"/>
      <c r="DBH204" s="605"/>
      <c r="DBI204" s="605"/>
      <c r="DBJ204" s="605"/>
      <c r="DBK204" s="605"/>
      <c r="DBL204" s="605"/>
      <c r="DBM204" s="605"/>
      <c r="DBN204" s="605"/>
      <c r="DBO204" s="605"/>
      <c r="DBP204" s="605"/>
      <c r="DBQ204" s="605"/>
      <c r="DBR204" s="605"/>
      <c r="DBS204" s="605"/>
      <c r="DBT204" s="605"/>
      <c r="DBU204" s="605"/>
      <c r="DBV204" s="605"/>
      <c r="DBW204" s="605"/>
      <c r="DBX204" s="605"/>
      <c r="DBY204" s="605"/>
      <c r="DBZ204" s="605"/>
      <c r="DCA204" s="605"/>
      <c r="DCB204" s="605"/>
      <c r="DCC204" s="605"/>
      <c r="DCD204" s="605"/>
      <c r="DCE204" s="605"/>
      <c r="DCF204" s="605"/>
      <c r="DCG204" s="605"/>
      <c r="DCH204" s="605"/>
      <c r="DCI204" s="605"/>
      <c r="DCJ204" s="605"/>
      <c r="DCK204" s="605"/>
      <c r="DCL204" s="605"/>
      <c r="DCM204" s="605"/>
      <c r="DCN204" s="605"/>
      <c r="DCO204" s="605"/>
      <c r="DCP204" s="605"/>
      <c r="DCQ204" s="605"/>
      <c r="DCR204" s="605"/>
      <c r="DCS204" s="605"/>
      <c r="DCT204" s="605"/>
      <c r="DCU204" s="605"/>
      <c r="DCV204" s="605"/>
      <c r="DCW204" s="605"/>
      <c r="DCX204" s="605"/>
      <c r="DCY204" s="605"/>
      <c r="DCZ204" s="605"/>
      <c r="DDA204" s="605"/>
      <c r="DDB204" s="605"/>
      <c r="DDC204" s="605"/>
      <c r="DDD204" s="605"/>
      <c r="DDE204" s="605"/>
      <c r="DDF204" s="605"/>
      <c r="DDG204" s="605"/>
      <c r="DDH204" s="605"/>
      <c r="DDI204" s="605"/>
      <c r="DDJ204" s="605"/>
      <c r="DDK204" s="605"/>
      <c r="DDL204" s="605"/>
      <c r="DDM204" s="605"/>
      <c r="DDN204" s="605"/>
      <c r="DDO204" s="605"/>
      <c r="DDP204" s="605"/>
      <c r="DDQ204" s="605"/>
      <c r="DDR204" s="605"/>
      <c r="DDS204" s="605"/>
      <c r="DDT204" s="605"/>
      <c r="DDU204" s="605"/>
      <c r="DDV204" s="605"/>
      <c r="DDW204" s="605"/>
      <c r="DDX204" s="605"/>
      <c r="DDY204" s="605"/>
      <c r="DDZ204" s="605"/>
      <c r="DEA204" s="605"/>
      <c r="DEB204" s="605"/>
      <c r="DEC204" s="605"/>
      <c r="DED204" s="605"/>
      <c r="DEE204" s="605"/>
      <c r="DEF204" s="605"/>
      <c r="DEG204" s="605"/>
      <c r="DEH204" s="605"/>
      <c r="DEI204" s="605"/>
      <c r="DEJ204" s="605"/>
      <c r="DEK204" s="605"/>
      <c r="DEL204" s="605"/>
      <c r="DEM204" s="605"/>
      <c r="DEN204" s="605"/>
      <c r="DEO204" s="605"/>
      <c r="DEP204" s="605"/>
      <c r="DEQ204" s="605"/>
      <c r="DER204" s="605"/>
      <c r="DES204" s="605"/>
      <c r="DET204" s="605"/>
      <c r="DEU204" s="605"/>
      <c r="DEV204" s="605"/>
      <c r="DEW204" s="605"/>
      <c r="DEX204" s="605"/>
      <c r="DEY204" s="605"/>
      <c r="DEZ204" s="605"/>
      <c r="DFA204" s="605"/>
      <c r="DFB204" s="605"/>
      <c r="DFC204" s="605"/>
      <c r="DFD204" s="605"/>
      <c r="DFE204" s="605"/>
      <c r="DFF204" s="605"/>
      <c r="DFG204" s="605"/>
      <c r="DFH204" s="605"/>
      <c r="DFI204" s="605"/>
      <c r="DFJ204" s="605"/>
      <c r="DFK204" s="605"/>
      <c r="DFL204" s="605"/>
      <c r="DFM204" s="605"/>
      <c r="DFN204" s="605"/>
      <c r="DFO204" s="605"/>
      <c r="DFP204" s="605"/>
      <c r="DFQ204" s="605"/>
      <c r="DFR204" s="605"/>
      <c r="DFS204" s="605"/>
      <c r="DFT204" s="605"/>
      <c r="DFU204" s="605"/>
      <c r="DFV204" s="605"/>
      <c r="DFW204" s="605"/>
      <c r="DFX204" s="605"/>
      <c r="DFY204" s="605"/>
      <c r="DFZ204" s="605"/>
      <c r="DGA204" s="605"/>
      <c r="DGB204" s="605"/>
      <c r="DGC204" s="605"/>
      <c r="DGD204" s="605"/>
      <c r="DGE204" s="605"/>
      <c r="DGF204" s="605"/>
      <c r="DGG204" s="605"/>
      <c r="DGH204" s="605"/>
      <c r="DGI204" s="605"/>
      <c r="DGJ204" s="605"/>
      <c r="DGK204" s="605"/>
      <c r="DGL204" s="605"/>
      <c r="DGM204" s="605"/>
      <c r="DGN204" s="605"/>
      <c r="DGO204" s="605"/>
      <c r="DGP204" s="605"/>
      <c r="DGQ204" s="605"/>
      <c r="DGR204" s="605"/>
      <c r="DGS204" s="605"/>
      <c r="DGT204" s="605"/>
      <c r="DGU204" s="605"/>
      <c r="DGV204" s="605"/>
      <c r="DGW204" s="605"/>
      <c r="DGX204" s="605"/>
      <c r="DGY204" s="605"/>
      <c r="DGZ204" s="605"/>
      <c r="DHA204" s="605"/>
      <c r="DHB204" s="605"/>
      <c r="DHC204" s="605"/>
      <c r="DHD204" s="605"/>
      <c r="DHE204" s="605"/>
      <c r="DHF204" s="605"/>
      <c r="DHG204" s="605"/>
      <c r="DHH204" s="605"/>
      <c r="DHI204" s="605"/>
      <c r="DHJ204" s="605"/>
      <c r="DHK204" s="605"/>
      <c r="DHL204" s="605"/>
      <c r="DHM204" s="605"/>
      <c r="DHN204" s="605"/>
      <c r="DHO204" s="605"/>
      <c r="DHP204" s="605"/>
      <c r="DHQ204" s="605"/>
      <c r="DHR204" s="605"/>
      <c r="DHS204" s="605"/>
      <c r="DHT204" s="605"/>
      <c r="DHU204" s="605"/>
      <c r="DHV204" s="605"/>
      <c r="DHW204" s="605"/>
      <c r="DHX204" s="605"/>
      <c r="DHY204" s="605"/>
      <c r="DHZ204" s="605"/>
      <c r="DIA204" s="605"/>
      <c r="DIB204" s="605"/>
      <c r="DIC204" s="605"/>
      <c r="DID204" s="605"/>
      <c r="DIE204" s="605"/>
      <c r="DIF204" s="605"/>
      <c r="DIG204" s="605"/>
      <c r="DIH204" s="605"/>
      <c r="DII204" s="605"/>
      <c r="DIJ204" s="605"/>
      <c r="DIK204" s="605"/>
      <c r="DIL204" s="605"/>
      <c r="DIM204" s="605"/>
      <c r="DIN204" s="605"/>
      <c r="DIO204" s="605"/>
      <c r="DIP204" s="605"/>
      <c r="DIQ204" s="605"/>
      <c r="DIR204" s="605"/>
      <c r="DIS204" s="605"/>
      <c r="DIT204" s="605"/>
      <c r="DIU204" s="605"/>
      <c r="DIV204" s="605"/>
      <c r="DIW204" s="605"/>
      <c r="DIX204" s="605"/>
      <c r="DIY204" s="605"/>
      <c r="DIZ204" s="605"/>
      <c r="DJA204" s="605"/>
      <c r="DJB204" s="605"/>
      <c r="DJC204" s="605"/>
      <c r="DJD204" s="605"/>
      <c r="DJE204" s="605"/>
      <c r="DJF204" s="605"/>
      <c r="DJG204" s="605"/>
      <c r="DJH204" s="605"/>
      <c r="DJI204" s="605"/>
      <c r="DJJ204" s="605"/>
      <c r="DJK204" s="605"/>
      <c r="DJL204" s="605"/>
      <c r="DJM204" s="605"/>
      <c r="DJN204" s="605"/>
      <c r="DJO204" s="605"/>
      <c r="DJP204" s="605"/>
      <c r="DJQ204" s="605"/>
      <c r="DJR204" s="605"/>
      <c r="DJS204" s="605"/>
      <c r="DJT204" s="605"/>
      <c r="DJU204" s="605"/>
      <c r="DJV204" s="605"/>
      <c r="DJW204" s="605"/>
      <c r="DJX204" s="605"/>
      <c r="DJY204" s="605"/>
      <c r="DJZ204" s="605"/>
      <c r="DKA204" s="605"/>
      <c r="DKB204" s="605"/>
      <c r="DKC204" s="605"/>
      <c r="DKD204" s="605"/>
      <c r="DKE204" s="605"/>
      <c r="DKF204" s="605"/>
      <c r="DKG204" s="605"/>
      <c r="DKH204" s="605"/>
      <c r="DKI204" s="605"/>
      <c r="DKJ204" s="605"/>
      <c r="DKK204" s="605"/>
      <c r="DKL204" s="605"/>
      <c r="DKM204" s="605"/>
      <c r="DKN204" s="605"/>
      <c r="DKO204" s="605"/>
      <c r="DKP204" s="605"/>
      <c r="DKQ204" s="605"/>
      <c r="DKR204" s="605"/>
      <c r="DKS204" s="605"/>
      <c r="DKT204" s="605"/>
      <c r="DKU204" s="605"/>
      <c r="DKV204" s="605"/>
      <c r="DKW204" s="605"/>
      <c r="DKX204" s="605"/>
      <c r="DKY204" s="605"/>
      <c r="DKZ204" s="605"/>
      <c r="DLA204" s="605"/>
      <c r="DLB204" s="605"/>
      <c r="DLC204" s="605"/>
      <c r="DLD204" s="605"/>
      <c r="DLE204" s="605"/>
      <c r="DLF204" s="605"/>
      <c r="DLG204" s="605"/>
      <c r="DLH204" s="605"/>
      <c r="DLI204" s="605"/>
      <c r="DLJ204" s="605"/>
      <c r="DLK204" s="605"/>
      <c r="DLL204" s="605"/>
      <c r="DLM204" s="605"/>
      <c r="DLN204" s="605"/>
      <c r="DLO204" s="605"/>
      <c r="DLP204" s="605"/>
      <c r="DLQ204" s="605"/>
      <c r="DLR204" s="605"/>
      <c r="DLS204" s="605"/>
      <c r="DLT204" s="605"/>
      <c r="DLU204" s="605"/>
      <c r="DLV204" s="605"/>
      <c r="DLW204" s="605"/>
      <c r="DLX204" s="605"/>
      <c r="DLY204" s="605"/>
      <c r="DLZ204" s="605"/>
      <c r="DMA204" s="605"/>
      <c r="DMB204" s="605"/>
      <c r="DMC204" s="605"/>
      <c r="DMD204" s="605"/>
      <c r="DME204" s="605"/>
      <c r="DMF204" s="605"/>
      <c r="DMG204" s="605"/>
      <c r="DMH204" s="605"/>
      <c r="DMI204" s="605"/>
      <c r="DMJ204" s="605"/>
      <c r="DMK204" s="605"/>
      <c r="DML204" s="605"/>
      <c r="DMM204" s="605"/>
      <c r="DMN204" s="605"/>
      <c r="DMO204" s="605"/>
      <c r="DMP204" s="605"/>
      <c r="DMQ204" s="605"/>
      <c r="DMR204" s="605"/>
      <c r="DMS204" s="605"/>
      <c r="DMT204" s="605"/>
      <c r="DMU204" s="605"/>
      <c r="DMV204" s="605"/>
      <c r="DMW204" s="605"/>
      <c r="DMX204" s="605"/>
      <c r="DMY204" s="605"/>
      <c r="DMZ204" s="605"/>
      <c r="DNA204" s="605"/>
      <c r="DNB204" s="605"/>
      <c r="DNC204" s="605"/>
      <c r="DND204" s="605"/>
      <c r="DNE204" s="605"/>
      <c r="DNF204" s="605"/>
      <c r="DNG204" s="605"/>
      <c r="DNH204" s="605"/>
      <c r="DNI204" s="605"/>
      <c r="DNJ204" s="605"/>
      <c r="DNK204" s="605"/>
      <c r="DNL204" s="605"/>
      <c r="DNM204" s="605"/>
      <c r="DNN204" s="605"/>
      <c r="DNO204" s="605"/>
      <c r="DNP204" s="605"/>
      <c r="DNQ204" s="605"/>
      <c r="DNR204" s="605"/>
      <c r="DNS204" s="605"/>
      <c r="DNT204" s="605"/>
      <c r="DNU204" s="605"/>
      <c r="DNV204" s="605"/>
      <c r="DNW204" s="605"/>
      <c r="DNX204" s="605"/>
      <c r="DNY204" s="605"/>
      <c r="DNZ204" s="605"/>
      <c r="DOA204" s="605"/>
      <c r="DOB204" s="605"/>
      <c r="DOC204" s="605"/>
      <c r="DOD204" s="605"/>
      <c r="DOE204" s="605"/>
      <c r="DOF204" s="605"/>
      <c r="DOG204" s="605"/>
      <c r="DOH204" s="605"/>
      <c r="DOI204" s="605"/>
      <c r="DOJ204" s="605"/>
      <c r="DOK204" s="605"/>
      <c r="DOL204" s="605"/>
      <c r="DOM204" s="605"/>
      <c r="DON204" s="605"/>
      <c r="DOO204" s="605"/>
      <c r="DOP204" s="605"/>
      <c r="DOQ204" s="605"/>
      <c r="DOR204" s="605"/>
      <c r="DOS204" s="605"/>
      <c r="DOT204" s="605"/>
      <c r="DOU204" s="605"/>
      <c r="DOV204" s="605"/>
      <c r="DOW204" s="605"/>
      <c r="DOX204" s="605"/>
      <c r="DOY204" s="605"/>
      <c r="DOZ204" s="605"/>
      <c r="DPA204" s="605"/>
      <c r="DPB204" s="605"/>
      <c r="DPC204" s="605"/>
      <c r="DPD204" s="605"/>
      <c r="DPE204" s="605"/>
      <c r="DPF204" s="605"/>
      <c r="DPG204" s="605"/>
      <c r="DPH204" s="605"/>
      <c r="DPI204" s="605"/>
      <c r="DPJ204" s="605"/>
      <c r="DPK204" s="605"/>
      <c r="DPL204" s="605"/>
      <c r="DPM204" s="605"/>
      <c r="DPN204" s="605"/>
      <c r="DPO204" s="605"/>
      <c r="DPP204" s="605"/>
      <c r="DPQ204" s="605"/>
      <c r="DPR204" s="605"/>
      <c r="DPS204" s="605"/>
      <c r="DPT204" s="605"/>
      <c r="DPU204" s="605"/>
      <c r="DPV204" s="605"/>
      <c r="DPW204" s="605"/>
      <c r="DPX204" s="605"/>
      <c r="DPY204" s="605"/>
      <c r="DPZ204" s="605"/>
      <c r="DQA204" s="605"/>
      <c r="DQB204" s="605"/>
      <c r="DQC204" s="605"/>
      <c r="DQD204" s="605"/>
      <c r="DQE204" s="605"/>
      <c r="DQF204" s="605"/>
      <c r="DQG204" s="605"/>
      <c r="DQH204" s="605"/>
      <c r="DQI204" s="605"/>
      <c r="DQJ204" s="605"/>
      <c r="DQK204" s="605"/>
      <c r="DQL204" s="605"/>
      <c r="DQM204" s="605"/>
      <c r="DQN204" s="605"/>
      <c r="DQO204" s="605"/>
      <c r="DQP204" s="605"/>
      <c r="DQQ204" s="605"/>
      <c r="DQR204" s="605"/>
      <c r="DQS204" s="605"/>
      <c r="DQT204" s="605"/>
      <c r="DQU204" s="605"/>
      <c r="DQV204" s="605"/>
      <c r="DQW204" s="605"/>
      <c r="DQX204" s="605"/>
      <c r="DQY204" s="605"/>
      <c r="DQZ204" s="605"/>
      <c r="DRA204" s="605"/>
      <c r="DRB204" s="605"/>
      <c r="DRC204" s="605"/>
      <c r="DRD204" s="605"/>
      <c r="DRE204" s="605"/>
      <c r="DRF204" s="605"/>
      <c r="DRG204" s="605"/>
      <c r="DRH204" s="605"/>
      <c r="DRI204" s="605"/>
      <c r="DRJ204" s="605"/>
      <c r="DRK204" s="605"/>
      <c r="DRL204" s="605"/>
      <c r="DRM204" s="605"/>
      <c r="DRN204" s="605"/>
      <c r="DRO204" s="605"/>
      <c r="DRP204" s="605"/>
      <c r="DRQ204" s="605"/>
      <c r="DRR204" s="605"/>
      <c r="DRS204" s="605"/>
      <c r="DRT204" s="605"/>
      <c r="DRU204" s="605"/>
      <c r="DRV204" s="605"/>
      <c r="DRW204" s="605"/>
      <c r="DRX204" s="605"/>
      <c r="DRY204" s="605"/>
      <c r="DRZ204" s="605"/>
      <c r="DSA204" s="605"/>
      <c r="DSB204" s="605"/>
      <c r="DSC204" s="605"/>
      <c r="DSD204" s="605"/>
      <c r="DSE204" s="605"/>
      <c r="DSF204" s="605"/>
      <c r="DSG204" s="605"/>
      <c r="DSH204" s="605"/>
      <c r="DSI204" s="605"/>
      <c r="DSJ204" s="605"/>
      <c r="DSK204" s="605"/>
      <c r="DSL204" s="605"/>
      <c r="DSM204" s="605"/>
      <c r="DSN204" s="605"/>
      <c r="DSO204" s="605"/>
      <c r="DSP204" s="605"/>
      <c r="DSQ204" s="605"/>
      <c r="DSR204" s="605"/>
      <c r="DSS204" s="605"/>
      <c r="DST204" s="605"/>
      <c r="DSU204" s="605"/>
      <c r="DSV204" s="605"/>
      <c r="DSW204" s="605"/>
      <c r="DSX204" s="605"/>
      <c r="DSY204" s="605"/>
      <c r="DSZ204" s="605"/>
      <c r="DTA204" s="605"/>
      <c r="DTB204" s="605"/>
      <c r="DTC204" s="605"/>
      <c r="DTD204" s="605"/>
      <c r="DTE204" s="605"/>
      <c r="DTF204" s="605"/>
      <c r="DTG204" s="605"/>
      <c r="DTH204" s="605"/>
      <c r="DTI204" s="605"/>
      <c r="DTJ204" s="605"/>
      <c r="DTK204" s="605"/>
      <c r="DTL204" s="605"/>
      <c r="DTM204" s="605"/>
      <c r="DTN204" s="605"/>
      <c r="DTO204" s="605"/>
      <c r="DTP204" s="605"/>
      <c r="DTQ204" s="605"/>
      <c r="DTR204" s="605"/>
      <c r="DTS204" s="605"/>
      <c r="DTT204" s="605"/>
      <c r="DTU204" s="605"/>
      <c r="DTV204" s="605"/>
      <c r="DTW204" s="605"/>
      <c r="DTX204" s="605"/>
      <c r="DTY204" s="605"/>
      <c r="DTZ204" s="605"/>
      <c r="DUA204" s="605"/>
      <c r="DUB204" s="605"/>
      <c r="DUC204" s="605"/>
      <c r="DUD204" s="605"/>
      <c r="DUE204" s="605"/>
      <c r="DUF204" s="605"/>
      <c r="DUG204" s="605"/>
      <c r="DUH204" s="605"/>
      <c r="DUI204" s="605"/>
      <c r="DUJ204" s="605"/>
      <c r="DUK204" s="605"/>
      <c r="DUL204" s="605"/>
      <c r="DUM204" s="605"/>
      <c r="DUN204" s="605"/>
      <c r="DUO204" s="605"/>
      <c r="DUP204" s="605"/>
      <c r="DUQ204" s="605"/>
      <c r="DUR204" s="605"/>
      <c r="DUS204" s="605"/>
      <c r="DUT204" s="605"/>
      <c r="DUU204" s="605"/>
      <c r="DUV204" s="605"/>
      <c r="DUW204" s="605"/>
      <c r="DUX204" s="605"/>
      <c r="DUY204" s="605"/>
      <c r="DUZ204" s="605"/>
      <c r="DVA204" s="605"/>
      <c r="DVB204" s="605"/>
      <c r="DVC204" s="605"/>
      <c r="DVD204" s="605"/>
      <c r="DVE204" s="605"/>
      <c r="DVF204" s="605"/>
      <c r="DVG204" s="605"/>
      <c r="DVH204" s="605"/>
      <c r="DVI204" s="605"/>
      <c r="DVJ204" s="605"/>
      <c r="DVK204" s="605"/>
      <c r="DVL204" s="605"/>
      <c r="DVM204" s="605"/>
      <c r="DVN204" s="605"/>
      <c r="DVO204" s="605"/>
      <c r="DVP204" s="605"/>
      <c r="DVQ204" s="605"/>
      <c r="DVR204" s="605"/>
      <c r="DVS204" s="605"/>
      <c r="DVT204" s="605"/>
      <c r="DVU204" s="605"/>
      <c r="DVV204" s="605"/>
      <c r="DVW204" s="605"/>
      <c r="DVX204" s="605"/>
      <c r="DVY204" s="605"/>
      <c r="DVZ204" s="605"/>
      <c r="DWA204" s="605"/>
      <c r="DWB204" s="605"/>
      <c r="DWC204" s="605"/>
      <c r="DWD204" s="605"/>
      <c r="DWE204" s="605"/>
      <c r="DWF204" s="605"/>
      <c r="DWG204" s="605"/>
      <c r="DWH204" s="605"/>
      <c r="DWI204" s="605"/>
      <c r="DWJ204" s="605"/>
      <c r="DWK204" s="605"/>
      <c r="DWL204" s="605"/>
      <c r="DWM204" s="605"/>
      <c r="DWN204" s="605"/>
      <c r="DWO204" s="605"/>
      <c r="DWP204" s="605"/>
      <c r="DWQ204" s="605"/>
      <c r="DWR204" s="605"/>
      <c r="DWS204" s="605"/>
      <c r="DWT204" s="605"/>
      <c r="DWU204" s="605"/>
      <c r="DWV204" s="605"/>
      <c r="DWW204" s="605"/>
      <c r="DWX204" s="605"/>
      <c r="DWY204" s="605"/>
      <c r="DWZ204" s="605"/>
      <c r="DXA204" s="605"/>
      <c r="DXB204" s="605"/>
      <c r="DXC204" s="605"/>
      <c r="DXD204" s="605"/>
      <c r="DXE204" s="605"/>
      <c r="DXF204" s="605"/>
      <c r="DXG204" s="605"/>
      <c r="DXH204" s="605"/>
      <c r="DXI204" s="605"/>
      <c r="DXJ204" s="605"/>
      <c r="DXK204" s="605"/>
      <c r="DXL204" s="605"/>
      <c r="DXM204" s="605"/>
      <c r="DXN204" s="605"/>
      <c r="DXO204" s="605"/>
      <c r="DXP204" s="605"/>
      <c r="DXQ204" s="605"/>
      <c r="DXR204" s="605"/>
      <c r="DXS204" s="605"/>
      <c r="DXT204" s="605"/>
      <c r="DXU204" s="605"/>
      <c r="DXV204" s="605"/>
      <c r="DXW204" s="605"/>
      <c r="DXX204" s="605"/>
      <c r="DXY204" s="605"/>
      <c r="DXZ204" s="605"/>
      <c r="DYA204" s="605"/>
      <c r="DYB204" s="605"/>
      <c r="DYC204" s="605"/>
      <c r="DYD204" s="605"/>
      <c r="DYE204" s="605"/>
      <c r="DYF204" s="605"/>
      <c r="DYG204" s="605"/>
      <c r="DYH204" s="605"/>
      <c r="DYI204" s="605"/>
      <c r="DYJ204" s="605"/>
      <c r="DYK204" s="605"/>
      <c r="DYL204" s="605"/>
      <c r="DYM204" s="605"/>
      <c r="DYN204" s="605"/>
      <c r="DYO204" s="605"/>
      <c r="DYP204" s="605"/>
      <c r="DYQ204" s="605"/>
      <c r="DYR204" s="605"/>
      <c r="DYS204" s="605"/>
      <c r="DYT204" s="605"/>
      <c r="DYU204" s="605"/>
      <c r="DYV204" s="605"/>
      <c r="DYW204" s="605"/>
      <c r="DYX204" s="605"/>
      <c r="DYY204" s="605"/>
      <c r="DYZ204" s="605"/>
      <c r="DZA204" s="605"/>
      <c r="DZB204" s="605"/>
      <c r="DZC204" s="605"/>
      <c r="DZD204" s="605"/>
      <c r="DZE204" s="605"/>
      <c r="DZF204" s="605"/>
      <c r="DZG204" s="605"/>
      <c r="DZH204" s="605"/>
      <c r="DZI204" s="605"/>
      <c r="DZJ204" s="605"/>
      <c r="DZK204" s="605"/>
      <c r="DZL204" s="605"/>
      <c r="DZM204" s="605"/>
      <c r="DZN204" s="605"/>
      <c r="DZO204" s="605"/>
      <c r="DZP204" s="605"/>
      <c r="DZQ204" s="605"/>
      <c r="DZR204" s="605"/>
      <c r="DZS204" s="605"/>
      <c r="DZT204" s="605"/>
      <c r="DZU204" s="605"/>
      <c r="DZV204" s="605"/>
      <c r="DZW204" s="605"/>
      <c r="DZX204" s="605"/>
      <c r="DZY204" s="605"/>
      <c r="DZZ204" s="605"/>
      <c r="EAA204" s="605"/>
      <c r="EAB204" s="605"/>
      <c r="EAC204" s="605"/>
      <c r="EAD204" s="605"/>
      <c r="EAE204" s="605"/>
      <c r="EAF204" s="605"/>
      <c r="EAG204" s="605"/>
      <c r="EAH204" s="605"/>
      <c r="EAI204" s="605"/>
      <c r="EAJ204" s="605"/>
      <c r="EAK204" s="605"/>
      <c r="EAL204" s="605"/>
      <c r="EAM204" s="605"/>
      <c r="EAN204" s="605"/>
      <c r="EAO204" s="605"/>
      <c r="EAP204" s="605"/>
      <c r="EAQ204" s="605"/>
      <c r="EAR204" s="605"/>
      <c r="EAS204" s="605"/>
      <c r="EAT204" s="605"/>
      <c r="EAU204" s="605"/>
      <c r="EAV204" s="605"/>
      <c r="EAW204" s="605"/>
      <c r="EAX204" s="605"/>
      <c r="EAY204" s="605"/>
      <c r="EAZ204" s="605"/>
      <c r="EBA204" s="605"/>
      <c r="EBB204" s="605"/>
      <c r="EBC204" s="605"/>
      <c r="EBD204" s="605"/>
      <c r="EBE204" s="605"/>
      <c r="EBF204" s="605"/>
      <c r="EBG204" s="605"/>
      <c r="EBH204" s="605"/>
      <c r="EBI204" s="605"/>
      <c r="EBJ204" s="605"/>
      <c r="EBK204" s="605"/>
      <c r="EBL204" s="605"/>
      <c r="EBM204" s="605"/>
      <c r="EBN204" s="605"/>
      <c r="EBO204" s="605"/>
      <c r="EBP204" s="605"/>
      <c r="EBQ204" s="605"/>
      <c r="EBR204" s="605"/>
      <c r="EBS204" s="605"/>
      <c r="EBT204" s="605"/>
      <c r="EBU204" s="605"/>
      <c r="EBV204" s="605"/>
      <c r="EBW204" s="605"/>
      <c r="EBX204" s="605"/>
      <c r="EBY204" s="605"/>
      <c r="EBZ204" s="605"/>
      <c r="ECA204" s="605"/>
      <c r="ECB204" s="605"/>
      <c r="ECC204" s="605"/>
      <c r="ECD204" s="605"/>
      <c r="ECE204" s="605"/>
      <c r="ECF204" s="605"/>
      <c r="ECG204" s="605"/>
      <c r="ECH204" s="605"/>
      <c r="ECI204" s="605"/>
      <c r="ECJ204" s="605"/>
      <c r="ECK204" s="605"/>
      <c r="ECL204" s="605"/>
      <c r="ECM204" s="605"/>
      <c r="ECN204" s="605"/>
      <c r="ECO204" s="605"/>
      <c r="ECP204" s="605"/>
      <c r="ECQ204" s="605"/>
      <c r="ECR204" s="605"/>
      <c r="ECS204" s="605"/>
      <c r="ECT204" s="605"/>
      <c r="ECU204" s="605"/>
      <c r="ECV204" s="605"/>
      <c r="ECW204" s="605"/>
      <c r="ECX204" s="605"/>
      <c r="ECY204" s="605"/>
      <c r="ECZ204" s="605"/>
      <c r="EDA204" s="605"/>
      <c r="EDB204" s="605"/>
      <c r="EDC204" s="605"/>
      <c r="EDD204" s="605"/>
      <c r="EDE204" s="605"/>
      <c r="EDF204" s="605"/>
      <c r="EDG204" s="605"/>
      <c r="EDH204" s="605"/>
      <c r="EDI204" s="605"/>
      <c r="EDJ204" s="605"/>
      <c r="EDK204" s="605"/>
      <c r="EDL204" s="605"/>
      <c r="EDM204" s="605"/>
      <c r="EDN204" s="605"/>
      <c r="EDO204" s="605"/>
      <c r="EDP204" s="605"/>
      <c r="EDQ204" s="605"/>
      <c r="EDR204" s="605"/>
      <c r="EDS204" s="605"/>
      <c r="EDT204" s="605"/>
      <c r="EDU204" s="605"/>
      <c r="EDV204" s="605"/>
      <c r="EDW204" s="605"/>
      <c r="EDX204" s="605"/>
      <c r="EDY204" s="605"/>
      <c r="EDZ204" s="605"/>
      <c r="EEA204" s="605"/>
      <c r="EEB204" s="605"/>
      <c r="EEC204" s="605"/>
      <c r="EED204" s="605"/>
      <c r="EEE204" s="605"/>
      <c r="EEF204" s="605"/>
      <c r="EEG204" s="605"/>
      <c r="EEH204" s="605"/>
      <c r="EEI204" s="605"/>
      <c r="EEJ204" s="605"/>
      <c r="EEK204" s="605"/>
      <c r="EEL204" s="605"/>
      <c r="EEM204" s="605"/>
      <c r="EEN204" s="605"/>
      <c r="EEO204" s="605"/>
      <c r="EEP204" s="605"/>
      <c r="EEQ204" s="605"/>
      <c r="EER204" s="605"/>
      <c r="EES204" s="605"/>
      <c r="EET204" s="605"/>
      <c r="EEU204" s="605"/>
      <c r="EEV204" s="605"/>
      <c r="EEW204" s="605"/>
      <c r="EEX204" s="605"/>
      <c r="EEY204" s="605"/>
      <c r="EEZ204" s="605"/>
      <c r="EFA204" s="605"/>
      <c r="EFB204" s="605"/>
      <c r="EFC204" s="605"/>
      <c r="EFD204" s="605"/>
      <c r="EFE204" s="605"/>
      <c r="EFF204" s="605"/>
      <c r="EFG204" s="605"/>
      <c r="EFH204" s="605"/>
      <c r="EFI204" s="605"/>
      <c r="EFJ204" s="605"/>
      <c r="EFK204" s="605"/>
      <c r="EFL204" s="605"/>
      <c r="EFM204" s="605"/>
      <c r="EFN204" s="605"/>
      <c r="EFO204" s="605"/>
      <c r="EFP204" s="605"/>
      <c r="EFQ204" s="605"/>
      <c r="EFR204" s="605"/>
      <c r="EFS204" s="605"/>
      <c r="EFT204" s="605"/>
      <c r="EFU204" s="605"/>
      <c r="EFV204" s="605"/>
      <c r="EFW204" s="605"/>
      <c r="EFX204" s="605"/>
      <c r="EFY204" s="605"/>
      <c r="EFZ204" s="605"/>
      <c r="EGA204" s="605"/>
      <c r="EGB204" s="605"/>
      <c r="EGC204" s="605"/>
      <c r="EGD204" s="605"/>
      <c r="EGE204" s="605"/>
      <c r="EGF204" s="605"/>
      <c r="EGG204" s="605"/>
      <c r="EGH204" s="605"/>
      <c r="EGI204" s="605"/>
      <c r="EGJ204" s="605"/>
      <c r="EGK204" s="605"/>
      <c r="EGL204" s="605"/>
      <c r="EGM204" s="605"/>
      <c r="EGN204" s="605"/>
      <c r="EGO204" s="605"/>
      <c r="EGP204" s="605"/>
      <c r="EGQ204" s="605"/>
      <c r="EGR204" s="605"/>
      <c r="EGS204" s="605"/>
      <c r="EGT204" s="605"/>
      <c r="EGU204" s="605"/>
      <c r="EGV204" s="605"/>
      <c r="EGW204" s="605"/>
      <c r="EGX204" s="605"/>
      <c r="EGY204" s="605"/>
      <c r="EGZ204" s="605"/>
      <c r="EHA204" s="605"/>
      <c r="EHB204" s="605"/>
      <c r="EHC204" s="605"/>
      <c r="EHD204" s="605"/>
      <c r="EHE204" s="605"/>
      <c r="EHF204" s="605"/>
      <c r="EHG204" s="605"/>
      <c r="EHH204" s="605"/>
      <c r="EHI204" s="605"/>
      <c r="EHJ204" s="605"/>
      <c r="EHK204" s="605"/>
      <c r="EHL204" s="605"/>
      <c r="EHM204" s="605"/>
      <c r="EHN204" s="605"/>
      <c r="EHO204" s="605"/>
      <c r="EHP204" s="605"/>
      <c r="EHQ204" s="605"/>
      <c r="EHR204" s="605"/>
      <c r="EHS204" s="605"/>
      <c r="EHT204" s="605"/>
      <c r="EHU204" s="605"/>
      <c r="EHV204" s="605"/>
      <c r="EHW204" s="605"/>
      <c r="EHX204" s="605"/>
      <c r="EHY204" s="605"/>
      <c r="EHZ204" s="605"/>
      <c r="EIA204" s="605"/>
      <c r="EIB204" s="605"/>
      <c r="EIC204" s="605"/>
      <c r="EID204" s="605"/>
      <c r="EIE204" s="605"/>
      <c r="EIF204" s="605"/>
      <c r="EIG204" s="605"/>
      <c r="EIH204" s="605"/>
      <c r="EII204" s="605"/>
      <c r="EIJ204" s="605"/>
      <c r="EIK204" s="605"/>
      <c r="EIL204" s="605"/>
      <c r="EIM204" s="605"/>
      <c r="EIN204" s="605"/>
      <c r="EIO204" s="605"/>
      <c r="EIP204" s="605"/>
      <c r="EIQ204" s="605"/>
      <c r="EIR204" s="605"/>
      <c r="EIS204" s="605"/>
      <c r="EIT204" s="605"/>
      <c r="EIU204" s="605"/>
      <c r="EIV204" s="605"/>
      <c r="EIW204" s="605"/>
      <c r="EIX204" s="605"/>
      <c r="EIY204" s="605"/>
      <c r="EIZ204" s="605"/>
      <c r="EJA204" s="605"/>
      <c r="EJB204" s="605"/>
      <c r="EJC204" s="605"/>
      <c r="EJD204" s="605"/>
      <c r="EJE204" s="605"/>
      <c r="EJF204" s="605"/>
      <c r="EJG204" s="605"/>
      <c r="EJH204" s="605"/>
      <c r="EJI204" s="605"/>
      <c r="EJJ204" s="605"/>
      <c r="EJK204" s="605"/>
      <c r="EJL204" s="605"/>
      <c r="EJM204" s="605"/>
      <c r="EJN204" s="605"/>
      <c r="EJO204" s="605"/>
      <c r="EJP204" s="605"/>
      <c r="EJQ204" s="605"/>
      <c r="EJR204" s="605"/>
      <c r="EJS204" s="605"/>
      <c r="EJT204" s="605"/>
      <c r="EJU204" s="605"/>
      <c r="EJV204" s="605"/>
      <c r="EJW204" s="605"/>
      <c r="EJX204" s="605"/>
      <c r="EJY204" s="605"/>
      <c r="EJZ204" s="605"/>
      <c r="EKA204" s="605"/>
      <c r="EKB204" s="605"/>
      <c r="EKC204" s="605"/>
      <c r="EKD204" s="605"/>
      <c r="EKE204" s="605"/>
      <c r="EKF204" s="605"/>
      <c r="EKG204" s="605"/>
      <c r="EKH204" s="605"/>
      <c r="EKI204" s="605"/>
      <c r="EKJ204" s="605"/>
      <c r="EKK204" s="605"/>
      <c r="EKL204" s="605"/>
      <c r="EKM204" s="605"/>
      <c r="EKN204" s="605"/>
      <c r="EKO204" s="605"/>
      <c r="EKP204" s="605"/>
      <c r="EKQ204" s="605"/>
      <c r="EKR204" s="605"/>
      <c r="EKS204" s="605"/>
      <c r="EKT204" s="605"/>
      <c r="EKU204" s="605"/>
      <c r="EKV204" s="605"/>
      <c r="EKW204" s="605"/>
      <c r="EKX204" s="605"/>
      <c r="EKY204" s="605"/>
      <c r="EKZ204" s="605"/>
      <c r="ELA204" s="605"/>
      <c r="ELB204" s="605"/>
      <c r="ELC204" s="605"/>
      <c r="ELD204" s="605"/>
      <c r="ELE204" s="605"/>
      <c r="ELF204" s="605"/>
      <c r="ELG204" s="605"/>
      <c r="ELH204" s="605"/>
      <c r="ELI204" s="605"/>
      <c r="ELJ204" s="605"/>
      <c r="ELK204" s="605"/>
      <c r="ELL204" s="605"/>
      <c r="ELM204" s="605"/>
      <c r="ELN204" s="605"/>
      <c r="ELO204" s="605"/>
      <c r="ELP204" s="605"/>
      <c r="ELQ204" s="605"/>
      <c r="ELR204" s="605"/>
      <c r="ELS204" s="605"/>
      <c r="ELT204" s="605"/>
      <c r="ELU204" s="605"/>
      <c r="ELV204" s="605"/>
      <c r="ELW204" s="605"/>
      <c r="ELX204" s="605"/>
      <c r="ELY204" s="605"/>
      <c r="ELZ204" s="605"/>
      <c r="EMA204" s="605"/>
      <c r="EMB204" s="605"/>
      <c r="EMC204" s="605"/>
      <c r="EMD204" s="605"/>
      <c r="EME204" s="605"/>
      <c r="EMF204" s="605"/>
      <c r="EMG204" s="605"/>
      <c r="EMH204" s="605"/>
      <c r="EMI204" s="605"/>
      <c r="EMJ204" s="605"/>
      <c r="EMK204" s="605"/>
      <c r="EML204" s="605"/>
      <c r="EMM204" s="605"/>
      <c r="EMN204" s="605"/>
      <c r="EMO204" s="605"/>
      <c r="EMP204" s="605"/>
      <c r="EMQ204" s="605"/>
      <c r="EMR204" s="605"/>
      <c r="EMS204" s="605"/>
      <c r="EMT204" s="605"/>
      <c r="EMU204" s="605"/>
      <c r="EMV204" s="605"/>
      <c r="EMW204" s="605"/>
      <c r="EMX204" s="605"/>
      <c r="EMY204" s="605"/>
      <c r="EMZ204" s="605"/>
      <c r="ENA204" s="605"/>
      <c r="ENB204" s="605"/>
      <c r="ENC204" s="605"/>
      <c r="END204" s="605"/>
      <c r="ENE204" s="605"/>
      <c r="ENF204" s="605"/>
      <c r="ENG204" s="605"/>
      <c r="ENH204" s="605"/>
      <c r="ENI204" s="605"/>
      <c r="ENJ204" s="605"/>
      <c r="ENK204" s="605"/>
      <c r="ENL204" s="605"/>
      <c r="ENM204" s="605"/>
      <c r="ENN204" s="605"/>
      <c r="ENO204" s="605"/>
      <c r="ENP204" s="605"/>
      <c r="ENQ204" s="605"/>
      <c r="ENR204" s="605"/>
      <c r="ENS204" s="605"/>
      <c r="ENT204" s="605"/>
      <c r="ENU204" s="605"/>
      <c r="ENV204" s="605"/>
      <c r="ENW204" s="605"/>
      <c r="ENX204" s="605"/>
      <c r="ENY204" s="605"/>
      <c r="ENZ204" s="605"/>
      <c r="EOA204" s="605"/>
      <c r="EOB204" s="605"/>
      <c r="EOC204" s="605"/>
      <c r="EOD204" s="605"/>
      <c r="EOE204" s="605"/>
      <c r="EOF204" s="605"/>
      <c r="EOG204" s="605"/>
      <c r="EOH204" s="605"/>
      <c r="EOI204" s="605"/>
      <c r="EOJ204" s="605"/>
      <c r="EOK204" s="605"/>
      <c r="EOL204" s="605"/>
      <c r="EOM204" s="605"/>
      <c r="EON204" s="605"/>
      <c r="EOO204" s="605"/>
      <c r="EOP204" s="605"/>
      <c r="EOQ204" s="605"/>
      <c r="EOR204" s="605"/>
      <c r="EOS204" s="605"/>
      <c r="EOT204" s="605"/>
      <c r="EOU204" s="605"/>
      <c r="EOV204" s="605"/>
      <c r="EOW204" s="605"/>
      <c r="EOX204" s="605"/>
      <c r="EOY204" s="605"/>
      <c r="EOZ204" s="605"/>
      <c r="EPA204" s="605"/>
      <c r="EPB204" s="605"/>
      <c r="EPC204" s="605"/>
      <c r="EPD204" s="605"/>
      <c r="EPE204" s="605"/>
      <c r="EPF204" s="605"/>
      <c r="EPG204" s="605"/>
      <c r="EPH204" s="605"/>
      <c r="EPI204" s="605"/>
      <c r="EPJ204" s="605"/>
      <c r="EPK204" s="605"/>
      <c r="EPL204" s="605"/>
      <c r="EPM204" s="605"/>
      <c r="EPN204" s="605"/>
      <c r="EPO204" s="605"/>
      <c r="EPP204" s="605"/>
      <c r="EPQ204" s="605"/>
      <c r="EPR204" s="605"/>
      <c r="EPS204" s="605"/>
      <c r="EPT204" s="605"/>
      <c r="EPU204" s="605"/>
      <c r="EPV204" s="605"/>
      <c r="EPW204" s="605"/>
      <c r="EPX204" s="605"/>
      <c r="EPY204" s="605"/>
      <c r="EPZ204" s="605"/>
      <c r="EQA204" s="605"/>
      <c r="EQB204" s="605"/>
      <c r="EQC204" s="605"/>
      <c r="EQD204" s="605"/>
      <c r="EQE204" s="605"/>
      <c r="EQF204" s="605"/>
      <c r="EQG204" s="605"/>
      <c r="EQH204" s="605"/>
      <c r="EQI204" s="605"/>
      <c r="EQJ204" s="605"/>
      <c r="EQK204" s="605"/>
      <c r="EQL204" s="605"/>
      <c r="EQM204" s="605"/>
      <c r="EQN204" s="605"/>
      <c r="EQO204" s="605"/>
      <c r="EQP204" s="605"/>
      <c r="EQQ204" s="605"/>
      <c r="EQR204" s="605"/>
      <c r="EQS204" s="605"/>
      <c r="EQT204" s="605"/>
      <c r="EQU204" s="605"/>
      <c r="EQV204" s="605"/>
      <c r="EQW204" s="605"/>
      <c r="EQX204" s="605"/>
      <c r="EQY204" s="605"/>
      <c r="EQZ204" s="605"/>
      <c r="ERA204" s="605"/>
      <c r="ERB204" s="605"/>
      <c r="ERC204" s="605"/>
      <c r="ERD204" s="605"/>
      <c r="ERE204" s="605"/>
      <c r="ERF204" s="605"/>
      <c r="ERG204" s="605"/>
      <c r="ERH204" s="605"/>
      <c r="ERI204" s="605"/>
      <c r="ERJ204" s="605"/>
      <c r="ERK204" s="605"/>
      <c r="ERL204" s="605"/>
      <c r="ERM204" s="605"/>
      <c r="ERN204" s="605"/>
      <c r="ERO204" s="605"/>
      <c r="ERP204" s="605"/>
      <c r="ERQ204" s="605"/>
      <c r="ERR204" s="605"/>
      <c r="ERS204" s="605"/>
      <c r="ERT204" s="605"/>
      <c r="ERU204" s="605"/>
      <c r="ERV204" s="605"/>
      <c r="ERW204" s="605"/>
      <c r="ERX204" s="605"/>
      <c r="ERY204" s="605"/>
      <c r="ERZ204" s="605"/>
      <c r="ESA204" s="605"/>
      <c r="ESB204" s="605"/>
      <c r="ESC204" s="605"/>
      <c r="ESD204" s="605"/>
      <c r="ESE204" s="605"/>
      <c r="ESF204" s="605"/>
      <c r="ESG204" s="605"/>
      <c r="ESH204" s="605"/>
      <c r="ESI204" s="605"/>
      <c r="ESJ204" s="605"/>
      <c r="ESK204" s="605"/>
      <c r="ESL204" s="605"/>
      <c r="ESM204" s="605"/>
      <c r="ESN204" s="605"/>
      <c r="ESO204" s="605"/>
      <c r="ESP204" s="605"/>
      <c r="ESQ204" s="605"/>
      <c r="ESR204" s="605"/>
      <c r="ESS204" s="605"/>
      <c r="EST204" s="605"/>
      <c r="ESU204" s="605"/>
      <c r="ESV204" s="605"/>
      <c r="ESW204" s="605"/>
      <c r="ESX204" s="605"/>
      <c r="ESY204" s="605"/>
      <c r="ESZ204" s="605"/>
      <c r="ETA204" s="605"/>
      <c r="ETB204" s="605"/>
      <c r="ETC204" s="605"/>
      <c r="ETD204" s="605"/>
      <c r="ETE204" s="605"/>
      <c r="ETF204" s="605"/>
      <c r="ETG204" s="605"/>
      <c r="ETH204" s="605"/>
      <c r="ETI204" s="605"/>
      <c r="ETJ204" s="605"/>
      <c r="ETK204" s="605"/>
      <c r="ETL204" s="605"/>
      <c r="ETM204" s="605"/>
      <c r="ETN204" s="605"/>
      <c r="ETO204" s="605"/>
      <c r="ETP204" s="605"/>
      <c r="ETQ204" s="605"/>
      <c r="ETR204" s="605"/>
      <c r="ETS204" s="605"/>
      <c r="ETT204" s="605"/>
      <c r="ETU204" s="605"/>
      <c r="ETV204" s="605"/>
      <c r="ETW204" s="605"/>
      <c r="ETX204" s="605"/>
      <c r="ETY204" s="605"/>
      <c r="ETZ204" s="605"/>
      <c r="EUA204" s="605"/>
      <c r="EUB204" s="605"/>
      <c r="EUC204" s="605"/>
      <c r="EUD204" s="605"/>
      <c r="EUE204" s="605"/>
      <c r="EUF204" s="605"/>
      <c r="EUG204" s="605"/>
      <c r="EUH204" s="605"/>
      <c r="EUI204" s="605"/>
      <c r="EUJ204" s="605"/>
      <c r="EUK204" s="605"/>
      <c r="EUL204" s="605"/>
      <c r="EUM204" s="605"/>
      <c r="EUN204" s="605"/>
      <c r="EUO204" s="605"/>
      <c r="EUP204" s="605"/>
      <c r="EUQ204" s="605"/>
      <c r="EUR204" s="605"/>
      <c r="EUS204" s="605"/>
      <c r="EUT204" s="605"/>
      <c r="EUU204" s="605"/>
      <c r="EUV204" s="605"/>
      <c r="EUW204" s="605"/>
      <c r="EUX204" s="605"/>
      <c r="EUY204" s="605"/>
      <c r="EUZ204" s="605"/>
      <c r="EVA204" s="605"/>
      <c r="EVB204" s="605"/>
      <c r="EVC204" s="605"/>
      <c r="EVD204" s="605"/>
      <c r="EVE204" s="605"/>
      <c r="EVF204" s="605"/>
      <c r="EVG204" s="605"/>
      <c r="EVH204" s="605"/>
      <c r="EVI204" s="605"/>
      <c r="EVJ204" s="605"/>
      <c r="EVK204" s="605"/>
      <c r="EVL204" s="605"/>
      <c r="EVM204" s="605"/>
      <c r="EVN204" s="605"/>
      <c r="EVO204" s="605"/>
      <c r="EVP204" s="605"/>
      <c r="EVQ204" s="605"/>
      <c r="EVR204" s="605"/>
      <c r="EVS204" s="605"/>
      <c r="EVT204" s="605"/>
      <c r="EVU204" s="605"/>
      <c r="EVV204" s="605"/>
      <c r="EVW204" s="605"/>
      <c r="EVX204" s="605"/>
      <c r="EVY204" s="605"/>
      <c r="EVZ204" s="605"/>
      <c r="EWA204" s="605"/>
      <c r="EWB204" s="605"/>
      <c r="EWC204" s="605"/>
      <c r="EWD204" s="605"/>
      <c r="EWE204" s="605"/>
      <c r="EWF204" s="605"/>
      <c r="EWG204" s="605"/>
      <c r="EWH204" s="605"/>
      <c r="EWI204" s="605"/>
      <c r="EWJ204" s="605"/>
      <c r="EWK204" s="605"/>
      <c r="EWL204" s="605"/>
      <c r="EWM204" s="605"/>
      <c r="EWN204" s="605"/>
      <c r="EWO204" s="605"/>
      <c r="EWP204" s="605"/>
      <c r="EWQ204" s="605"/>
      <c r="EWR204" s="605"/>
      <c r="EWS204" s="605"/>
      <c r="EWT204" s="605"/>
      <c r="EWU204" s="605"/>
      <c r="EWV204" s="605"/>
      <c r="EWW204" s="605"/>
      <c r="EWX204" s="605"/>
      <c r="EWY204" s="605"/>
      <c r="EWZ204" s="605"/>
      <c r="EXA204" s="605"/>
      <c r="EXB204" s="605"/>
      <c r="EXC204" s="605"/>
      <c r="EXD204" s="605"/>
      <c r="EXE204" s="605"/>
      <c r="EXF204" s="605"/>
      <c r="EXG204" s="605"/>
      <c r="EXH204" s="605"/>
      <c r="EXI204" s="605"/>
      <c r="EXJ204" s="605"/>
      <c r="EXK204" s="605"/>
      <c r="EXL204" s="605"/>
      <c r="EXM204" s="605"/>
      <c r="EXN204" s="605"/>
      <c r="EXO204" s="605"/>
      <c r="EXP204" s="605"/>
      <c r="EXQ204" s="605"/>
      <c r="EXR204" s="605"/>
      <c r="EXS204" s="605"/>
      <c r="EXT204" s="605"/>
      <c r="EXU204" s="605"/>
      <c r="EXV204" s="605"/>
      <c r="EXW204" s="605"/>
      <c r="EXX204" s="605"/>
      <c r="EXY204" s="605"/>
      <c r="EXZ204" s="605"/>
      <c r="EYA204" s="605"/>
      <c r="EYB204" s="605"/>
      <c r="EYC204" s="605"/>
      <c r="EYD204" s="605"/>
      <c r="EYE204" s="605"/>
      <c r="EYF204" s="605"/>
      <c r="EYG204" s="605"/>
      <c r="EYH204" s="605"/>
      <c r="EYI204" s="605"/>
      <c r="EYJ204" s="605"/>
      <c r="EYK204" s="605"/>
      <c r="EYL204" s="605"/>
      <c r="EYM204" s="605"/>
      <c r="EYN204" s="605"/>
      <c r="EYO204" s="605"/>
      <c r="EYP204" s="605"/>
      <c r="EYQ204" s="605"/>
      <c r="EYR204" s="605"/>
      <c r="EYS204" s="605"/>
      <c r="EYT204" s="605"/>
      <c r="EYU204" s="605"/>
      <c r="EYV204" s="605"/>
      <c r="EYW204" s="605"/>
      <c r="EYX204" s="605"/>
      <c r="EYY204" s="605"/>
      <c r="EYZ204" s="605"/>
      <c r="EZA204" s="605"/>
      <c r="EZB204" s="605"/>
      <c r="EZC204" s="605"/>
      <c r="EZD204" s="605"/>
      <c r="EZE204" s="605"/>
      <c r="EZF204" s="605"/>
      <c r="EZG204" s="605"/>
      <c r="EZH204" s="605"/>
      <c r="EZI204" s="605"/>
      <c r="EZJ204" s="605"/>
      <c r="EZK204" s="605"/>
      <c r="EZL204" s="605"/>
      <c r="EZM204" s="605"/>
      <c r="EZN204" s="605"/>
      <c r="EZO204" s="605"/>
      <c r="EZP204" s="605"/>
      <c r="EZQ204" s="605"/>
      <c r="EZR204" s="605"/>
      <c r="EZS204" s="605"/>
      <c r="EZT204" s="605"/>
      <c r="EZU204" s="605"/>
      <c r="EZV204" s="605"/>
      <c r="EZW204" s="605"/>
      <c r="EZX204" s="605"/>
      <c r="EZY204" s="605"/>
      <c r="EZZ204" s="605"/>
      <c r="FAA204" s="605"/>
      <c r="FAB204" s="605"/>
      <c r="FAC204" s="605"/>
      <c r="FAD204" s="605"/>
      <c r="FAE204" s="605"/>
      <c r="FAF204" s="605"/>
      <c r="FAG204" s="605"/>
      <c r="FAH204" s="605"/>
      <c r="FAI204" s="605"/>
      <c r="FAJ204" s="605"/>
      <c r="FAK204" s="605"/>
      <c r="FAL204" s="605"/>
      <c r="FAM204" s="605"/>
      <c r="FAN204" s="605"/>
      <c r="FAO204" s="605"/>
      <c r="FAP204" s="605"/>
      <c r="FAQ204" s="605"/>
      <c r="FAR204" s="605"/>
      <c r="FAS204" s="605"/>
      <c r="FAT204" s="605"/>
      <c r="FAU204" s="605"/>
      <c r="FAV204" s="605"/>
      <c r="FAW204" s="605"/>
      <c r="FAX204" s="605"/>
      <c r="FAY204" s="605"/>
      <c r="FAZ204" s="605"/>
      <c r="FBA204" s="605"/>
      <c r="FBB204" s="605"/>
      <c r="FBC204" s="605"/>
      <c r="FBD204" s="605"/>
      <c r="FBE204" s="605"/>
      <c r="FBF204" s="605"/>
      <c r="FBG204" s="605"/>
      <c r="FBH204" s="605"/>
      <c r="FBI204" s="605"/>
      <c r="FBJ204" s="605"/>
      <c r="FBK204" s="605"/>
      <c r="FBL204" s="605"/>
      <c r="FBM204" s="605"/>
      <c r="FBN204" s="605"/>
      <c r="FBO204" s="605"/>
      <c r="FBP204" s="605"/>
      <c r="FBQ204" s="605"/>
      <c r="FBR204" s="605"/>
      <c r="FBS204" s="605"/>
      <c r="FBT204" s="605"/>
      <c r="FBU204" s="605"/>
      <c r="FBV204" s="605"/>
      <c r="FBW204" s="605"/>
      <c r="FBX204" s="605"/>
      <c r="FBY204" s="605"/>
      <c r="FBZ204" s="605"/>
      <c r="FCA204" s="605"/>
      <c r="FCB204" s="605"/>
      <c r="FCC204" s="605"/>
      <c r="FCD204" s="605"/>
      <c r="FCE204" s="605"/>
      <c r="FCF204" s="605"/>
      <c r="FCG204" s="605"/>
      <c r="FCH204" s="605"/>
      <c r="FCI204" s="605"/>
      <c r="FCJ204" s="605"/>
      <c r="FCK204" s="605"/>
      <c r="FCL204" s="605"/>
      <c r="FCM204" s="605"/>
      <c r="FCN204" s="605"/>
      <c r="FCO204" s="605"/>
      <c r="FCP204" s="605"/>
      <c r="FCQ204" s="605"/>
      <c r="FCR204" s="605"/>
      <c r="FCS204" s="605"/>
      <c r="FCT204" s="605"/>
      <c r="FCU204" s="605"/>
      <c r="FCV204" s="605"/>
      <c r="FCW204" s="605"/>
      <c r="FCX204" s="605"/>
      <c r="FCY204" s="605"/>
      <c r="FCZ204" s="605"/>
      <c r="FDA204" s="605"/>
      <c r="FDB204" s="605"/>
      <c r="FDC204" s="605"/>
      <c r="FDD204" s="605"/>
      <c r="FDE204" s="605"/>
      <c r="FDF204" s="605"/>
      <c r="FDG204" s="605"/>
      <c r="FDH204" s="605"/>
      <c r="FDI204" s="605"/>
      <c r="FDJ204" s="605"/>
      <c r="FDK204" s="605"/>
      <c r="FDL204" s="605"/>
      <c r="FDM204" s="605"/>
      <c r="FDN204" s="605"/>
      <c r="FDO204" s="605"/>
      <c r="FDP204" s="605"/>
      <c r="FDQ204" s="605"/>
      <c r="FDR204" s="605"/>
      <c r="FDS204" s="605"/>
      <c r="FDT204" s="605"/>
      <c r="FDU204" s="605"/>
      <c r="FDV204" s="605"/>
      <c r="FDW204" s="605"/>
      <c r="FDX204" s="605"/>
      <c r="FDY204" s="605"/>
      <c r="FDZ204" s="605"/>
      <c r="FEA204" s="605"/>
      <c r="FEB204" s="605"/>
      <c r="FEC204" s="605"/>
      <c r="FED204" s="605"/>
      <c r="FEE204" s="605"/>
      <c r="FEF204" s="605"/>
      <c r="FEG204" s="605"/>
      <c r="FEH204" s="605"/>
      <c r="FEI204" s="605"/>
      <c r="FEJ204" s="605"/>
      <c r="FEK204" s="605"/>
      <c r="FEL204" s="605"/>
      <c r="FEM204" s="605"/>
      <c r="FEN204" s="605"/>
      <c r="FEO204" s="605"/>
      <c r="FEP204" s="605"/>
      <c r="FEQ204" s="605"/>
      <c r="FER204" s="605"/>
      <c r="FES204" s="605"/>
      <c r="FET204" s="605"/>
      <c r="FEU204" s="605"/>
      <c r="FEV204" s="605"/>
      <c r="FEW204" s="605"/>
      <c r="FEX204" s="605"/>
      <c r="FEY204" s="605"/>
      <c r="FEZ204" s="605"/>
      <c r="FFA204" s="605"/>
      <c r="FFB204" s="605"/>
      <c r="FFC204" s="605"/>
      <c r="FFD204" s="605"/>
      <c r="FFE204" s="605"/>
      <c r="FFF204" s="605"/>
      <c r="FFG204" s="605"/>
      <c r="FFH204" s="605"/>
      <c r="FFI204" s="605"/>
      <c r="FFJ204" s="605"/>
      <c r="FFK204" s="605"/>
      <c r="FFL204" s="605"/>
      <c r="FFM204" s="605"/>
      <c r="FFN204" s="605"/>
      <c r="FFO204" s="605"/>
      <c r="FFP204" s="605"/>
      <c r="FFQ204" s="605"/>
      <c r="FFR204" s="605"/>
      <c r="FFS204" s="605"/>
      <c r="FFT204" s="605"/>
      <c r="FFU204" s="605"/>
      <c r="FFV204" s="605"/>
      <c r="FFW204" s="605"/>
      <c r="FFX204" s="605"/>
      <c r="FFY204" s="605"/>
      <c r="FFZ204" s="605"/>
      <c r="FGA204" s="605"/>
      <c r="FGB204" s="605"/>
      <c r="FGC204" s="605"/>
      <c r="FGD204" s="605"/>
      <c r="FGE204" s="605"/>
      <c r="FGF204" s="605"/>
      <c r="FGG204" s="605"/>
      <c r="FGH204" s="605"/>
      <c r="FGI204" s="605"/>
      <c r="FGJ204" s="605"/>
      <c r="FGK204" s="605"/>
      <c r="FGL204" s="605"/>
      <c r="FGM204" s="605"/>
      <c r="FGN204" s="605"/>
      <c r="FGO204" s="605"/>
      <c r="FGP204" s="605"/>
      <c r="FGQ204" s="605"/>
      <c r="FGR204" s="605"/>
      <c r="FGS204" s="605"/>
      <c r="FGT204" s="605"/>
      <c r="FGU204" s="605"/>
      <c r="FGV204" s="605"/>
      <c r="FGW204" s="605"/>
      <c r="FGX204" s="605"/>
      <c r="FGY204" s="605"/>
      <c r="FGZ204" s="605"/>
      <c r="FHA204" s="605"/>
      <c r="FHB204" s="605"/>
      <c r="FHC204" s="605"/>
      <c r="FHD204" s="605"/>
      <c r="FHE204" s="605"/>
      <c r="FHF204" s="605"/>
      <c r="FHG204" s="605"/>
      <c r="FHH204" s="605"/>
      <c r="FHI204" s="605"/>
      <c r="FHJ204" s="605"/>
      <c r="FHK204" s="605"/>
      <c r="FHL204" s="605"/>
      <c r="FHM204" s="605"/>
      <c r="FHN204" s="605"/>
      <c r="FHO204" s="605"/>
      <c r="FHP204" s="605"/>
      <c r="FHQ204" s="605"/>
      <c r="FHR204" s="605"/>
      <c r="FHS204" s="605"/>
      <c r="FHT204" s="605"/>
      <c r="FHU204" s="605"/>
      <c r="FHV204" s="605"/>
      <c r="FHW204" s="605"/>
      <c r="FHX204" s="605"/>
      <c r="FHY204" s="605"/>
      <c r="FHZ204" s="605"/>
      <c r="FIA204" s="605"/>
      <c r="FIB204" s="605"/>
      <c r="FIC204" s="605"/>
      <c r="FID204" s="605"/>
      <c r="FIE204" s="605"/>
      <c r="FIF204" s="605"/>
      <c r="FIG204" s="605"/>
      <c r="FIH204" s="605"/>
      <c r="FII204" s="605"/>
      <c r="FIJ204" s="605"/>
      <c r="FIK204" s="605"/>
      <c r="FIL204" s="605"/>
      <c r="FIM204" s="605"/>
      <c r="FIN204" s="605"/>
      <c r="FIO204" s="605"/>
      <c r="FIP204" s="605"/>
      <c r="FIQ204" s="605"/>
      <c r="FIR204" s="605"/>
      <c r="FIS204" s="605"/>
      <c r="FIT204" s="605"/>
      <c r="FIU204" s="605"/>
      <c r="FIV204" s="605"/>
      <c r="FIW204" s="605"/>
      <c r="FIX204" s="605"/>
      <c r="FIY204" s="605"/>
      <c r="FIZ204" s="605"/>
      <c r="FJA204" s="605"/>
      <c r="FJB204" s="605"/>
      <c r="FJC204" s="605"/>
      <c r="FJD204" s="605"/>
      <c r="FJE204" s="605"/>
      <c r="FJF204" s="605"/>
      <c r="FJG204" s="605"/>
      <c r="FJH204" s="605"/>
      <c r="FJI204" s="605"/>
      <c r="FJJ204" s="605"/>
      <c r="FJK204" s="605"/>
      <c r="FJL204" s="605"/>
      <c r="FJM204" s="605"/>
      <c r="FJN204" s="605"/>
      <c r="FJO204" s="605"/>
      <c r="FJP204" s="605"/>
      <c r="FJQ204" s="605"/>
      <c r="FJR204" s="605"/>
      <c r="FJS204" s="605"/>
      <c r="FJT204" s="605"/>
      <c r="FJU204" s="605"/>
      <c r="FJV204" s="605"/>
      <c r="FJW204" s="605"/>
      <c r="FJX204" s="605"/>
      <c r="FJY204" s="605"/>
      <c r="FJZ204" s="605"/>
      <c r="FKA204" s="605"/>
      <c r="FKB204" s="605"/>
      <c r="FKC204" s="605"/>
      <c r="FKD204" s="605"/>
      <c r="FKE204" s="605"/>
      <c r="FKF204" s="605"/>
      <c r="FKG204" s="605"/>
      <c r="FKH204" s="605"/>
      <c r="FKI204" s="605"/>
      <c r="FKJ204" s="605"/>
      <c r="FKK204" s="605"/>
      <c r="FKL204" s="605"/>
      <c r="FKM204" s="605"/>
      <c r="FKN204" s="605"/>
      <c r="FKO204" s="605"/>
      <c r="FKP204" s="605"/>
      <c r="FKQ204" s="605"/>
      <c r="FKR204" s="605"/>
      <c r="FKS204" s="605"/>
      <c r="FKT204" s="605"/>
      <c r="FKU204" s="605"/>
      <c r="FKV204" s="605"/>
      <c r="FKW204" s="605"/>
      <c r="FKX204" s="605"/>
      <c r="FKY204" s="605"/>
      <c r="FKZ204" s="605"/>
      <c r="FLA204" s="605"/>
      <c r="FLB204" s="605"/>
      <c r="FLC204" s="605"/>
      <c r="FLD204" s="605"/>
      <c r="FLE204" s="605"/>
      <c r="FLF204" s="605"/>
      <c r="FLG204" s="605"/>
      <c r="FLH204" s="605"/>
      <c r="FLI204" s="605"/>
      <c r="FLJ204" s="605"/>
      <c r="FLK204" s="605"/>
      <c r="FLL204" s="605"/>
      <c r="FLM204" s="605"/>
      <c r="FLN204" s="605"/>
      <c r="FLO204" s="605"/>
      <c r="FLP204" s="605"/>
      <c r="FLQ204" s="605"/>
      <c r="FLR204" s="605"/>
      <c r="FLS204" s="605"/>
      <c r="FLT204" s="605"/>
      <c r="FLU204" s="605"/>
      <c r="FLV204" s="605"/>
      <c r="FLW204" s="605"/>
      <c r="FLX204" s="605"/>
      <c r="FLY204" s="605"/>
      <c r="FLZ204" s="605"/>
      <c r="FMA204" s="605"/>
      <c r="FMB204" s="605"/>
      <c r="FMC204" s="605"/>
      <c r="FMD204" s="605"/>
      <c r="FME204" s="605"/>
      <c r="FMF204" s="605"/>
      <c r="FMG204" s="605"/>
      <c r="FMH204" s="605"/>
      <c r="FMI204" s="605"/>
      <c r="FMJ204" s="605"/>
      <c r="FMK204" s="605"/>
      <c r="FML204" s="605"/>
      <c r="FMM204" s="605"/>
      <c r="FMN204" s="605"/>
      <c r="FMO204" s="605"/>
      <c r="FMP204" s="605"/>
      <c r="FMQ204" s="605"/>
      <c r="FMR204" s="605"/>
      <c r="FMS204" s="605"/>
      <c r="FMT204" s="605"/>
      <c r="FMU204" s="605"/>
      <c r="FMV204" s="605"/>
      <c r="FMW204" s="605"/>
      <c r="FMX204" s="605"/>
      <c r="FMY204" s="605"/>
      <c r="FMZ204" s="605"/>
      <c r="FNA204" s="605"/>
      <c r="FNB204" s="605"/>
      <c r="FNC204" s="605"/>
      <c r="FND204" s="605"/>
      <c r="FNE204" s="605"/>
      <c r="FNF204" s="605"/>
      <c r="FNG204" s="605"/>
      <c r="FNH204" s="605"/>
      <c r="FNI204" s="605"/>
      <c r="FNJ204" s="605"/>
      <c r="FNK204" s="605"/>
      <c r="FNL204" s="605"/>
      <c r="FNM204" s="605"/>
      <c r="FNN204" s="605"/>
      <c r="FNO204" s="605"/>
      <c r="FNP204" s="605"/>
      <c r="FNQ204" s="605"/>
      <c r="FNR204" s="605"/>
      <c r="FNS204" s="605"/>
      <c r="FNT204" s="605"/>
      <c r="FNU204" s="605"/>
      <c r="FNV204" s="605"/>
      <c r="FNW204" s="605"/>
      <c r="FNX204" s="605"/>
      <c r="FNY204" s="605"/>
      <c r="FNZ204" s="605"/>
      <c r="FOA204" s="605"/>
      <c r="FOB204" s="605"/>
      <c r="FOC204" s="605"/>
      <c r="FOD204" s="605"/>
      <c r="FOE204" s="605"/>
      <c r="FOF204" s="605"/>
      <c r="FOG204" s="605"/>
      <c r="FOH204" s="605"/>
      <c r="FOI204" s="605"/>
      <c r="FOJ204" s="605"/>
      <c r="FOK204" s="605"/>
      <c r="FOL204" s="605"/>
      <c r="FOM204" s="605"/>
      <c r="FON204" s="605"/>
      <c r="FOO204" s="605"/>
      <c r="FOP204" s="605"/>
      <c r="FOQ204" s="605"/>
      <c r="FOR204" s="605"/>
      <c r="FOS204" s="605"/>
      <c r="FOT204" s="605"/>
      <c r="FOU204" s="605"/>
      <c r="FOV204" s="605"/>
      <c r="FOW204" s="605"/>
      <c r="FOX204" s="605"/>
      <c r="FOY204" s="605"/>
      <c r="FOZ204" s="605"/>
      <c r="FPA204" s="605"/>
      <c r="FPB204" s="605"/>
      <c r="FPC204" s="605"/>
      <c r="FPD204" s="605"/>
      <c r="FPE204" s="605"/>
      <c r="FPF204" s="605"/>
      <c r="FPG204" s="605"/>
      <c r="FPH204" s="605"/>
      <c r="FPI204" s="605"/>
      <c r="FPJ204" s="605"/>
      <c r="FPK204" s="605"/>
      <c r="FPL204" s="605"/>
      <c r="FPM204" s="605"/>
      <c r="FPN204" s="605"/>
      <c r="FPO204" s="605"/>
      <c r="FPP204" s="605"/>
      <c r="FPQ204" s="605"/>
      <c r="FPR204" s="605"/>
      <c r="FPS204" s="605"/>
      <c r="FPT204" s="605"/>
      <c r="FPU204" s="605"/>
      <c r="FPV204" s="605"/>
      <c r="FPW204" s="605"/>
      <c r="FPX204" s="605"/>
      <c r="FPY204" s="605"/>
      <c r="FPZ204" s="605"/>
      <c r="FQA204" s="605"/>
      <c r="FQB204" s="605"/>
      <c r="FQC204" s="605"/>
      <c r="FQD204" s="605"/>
      <c r="FQE204" s="605"/>
      <c r="FQF204" s="605"/>
      <c r="FQG204" s="605"/>
      <c r="FQH204" s="605"/>
      <c r="FQI204" s="605"/>
      <c r="FQJ204" s="605"/>
      <c r="FQK204" s="605"/>
      <c r="FQL204" s="605"/>
      <c r="FQM204" s="605"/>
      <c r="FQN204" s="605"/>
      <c r="FQO204" s="605"/>
      <c r="FQP204" s="605"/>
      <c r="FQQ204" s="605"/>
      <c r="FQR204" s="605"/>
      <c r="FQS204" s="605"/>
      <c r="FQT204" s="605"/>
      <c r="FQU204" s="605"/>
      <c r="FQV204" s="605"/>
      <c r="FQW204" s="605"/>
      <c r="FQX204" s="605"/>
      <c r="FQY204" s="605"/>
      <c r="FQZ204" s="605"/>
      <c r="FRA204" s="605"/>
      <c r="FRB204" s="605"/>
      <c r="FRC204" s="605"/>
      <c r="FRD204" s="605"/>
      <c r="FRE204" s="605"/>
      <c r="FRF204" s="605"/>
      <c r="FRG204" s="605"/>
      <c r="FRH204" s="605"/>
      <c r="FRI204" s="605"/>
      <c r="FRJ204" s="605"/>
      <c r="FRK204" s="605"/>
      <c r="FRL204" s="605"/>
      <c r="FRM204" s="605"/>
      <c r="FRN204" s="605"/>
      <c r="FRO204" s="605"/>
      <c r="FRP204" s="605"/>
      <c r="FRQ204" s="605"/>
      <c r="FRR204" s="605"/>
      <c r="FRS204" s="605"/>
      <c r="FRT204" s="605"/>
      <c r="FRU204" s="605"/>
      <c r="FRV204" s="605"/>
      <c r="FRW204" s="605"/>
      <c r="FRX204" s="605"/>
      <c r="FRY204" s="605"/>
      <c r="FRZ204" s="605"/>
      <c r="FSA204" s="605"/>
      <c r="FSB204" s="605"/>
      <c r="FSC204" s="605"/>
      <c r="FSD204" s="605"/>
      <c r="FSE204" s="605"/>
      <c r="FSF204" s="605"/>
      <c r="FSG204" s="605"/>
      <c r="FSH204" s="605"/>
      <c r="FSI204" s="605"/>
      <c r="FSJ204" s="605"/>
      <c r="FSK204" s="605"/>
      <c r="FSL204" s="605"/>
      <c r="FSM204" s="605"/>
      <c r="FSN204" s="605"/>
      <c r="FSO204" s="605"/>
      <c r="FSP204" s="605"/>
      <c r="FSQ204" s="605"/>
      <c r="FSR204" s="605"/>
      <c r="FSS204" s="605"/>
      <c r="FST204" s="605"/>
      <c r="FSU204" s="605"/>
      <c r="FSV204" s="605"/>
      <c r="FSW204" s="605"/>
      <c r="FSX204" s="605"/>
      <c r="FSY204" s="605"/>
      <c r="FSZ204" s="605"/>
      <c r="FTA204" s="605"/>
      <c r="FTB204" s="605"/>
      <c r="FTC204" s="605"/>
      <c r="FTD204" s="605"/>
      <c r="FTE204" s="605"/>
      <c r="FTF204" s="605"/>
      <c r="FTG204" s="605"/>
      <c r="FTH204" s="605"/>
      <c r="FTI204" s="605"/>
      <c r="FTJ204" s="605"/>
      <c r="FTK204" s="605"/>
      <c r="FTL204" s="605"/>
      <c r="FTM204" s="605"/>
      <c r="FTN204" s="605"/>
      <c r="FTO204" s="605"/>
      <c r="FTP204" s="605"/>
      <c r="FTQ204" s="605"/>
      <c r="FTR204" s="605"/>
      <c r="FTS204" s="605"/>
      <c r="FTT204" s="605"/>
      <c r="FTU204" s="605"/>
      <c r="FTV204" s="605"/>
      <c r="FTW204" s="605"/>
      <c r="FTX204" s="605"/>
      <c r="FTY204" s="605"/>
      <c r="FTZ204" s="605"/>
      <c r="FUA204" s="605"/>
      <c r="FUB204" s="605"/>
      <c r="FUC204" s="605"/>
      <c r="FUD204" s="605"/>
      <c r="FUE204" s="605"/>
      <c r="FUF204" s="605"/>
      <c r="FUG204" s="605"/>
      <c r="FUH204" s="605"/>
      <c r="FUI204" s="605"/>
      <c r="FUJ204" s="605"/>
      <c r="FUK204" s="605"/>
      <c r="FUL204" s="605"/>
      <c r="FUM204" s="605"/>
      <c r="FUN204" s="605"/>
      <c r="FUO204" s="605"/>
      <c r="FUP204" s="605"/>
      <c r="FUQ204" s="605"/>
      <c r="FUR204" s="605"/>
      <c r="FUS204" s="605"/>
      <c r="FUT204" s="605"/>
      <c r="FUU204" s="605"/>
      <c r="FUV204" s="605"/>
      <c r="FUW204" s="605"/>
      <c r="FUX204" s="605"/>
      <c r="FUY204" s="605"/>
      <c r="FUZ204" s="605"/>
      <c r="FVA204" s="605"/>
      <c r="FVB204" s="605"/>
      <c r="FVC204" s="605"/>
      <c r="FVD204" s="605"/>
      <c r="FVE204" s="605"/>
      <c r="FVF204" s="605"/>
      <c r="FVG204" s="605"/>
      <c r="FVH204" s="605"/>
      <c r="FVI204" s="605"/>
      <c r="FVJ204" s="605"/>
      <c r="FVK204" s="605"/>
      <c r="FVL204" s="605"/>
      <c r="FVM204" s="605"/>
      <c r="FVN204" s="605"/>
      <c r="FVO204" s="605"/>
      <c r="FVP204" s="605"/>
      <c r="FVQ204" s="605"/>
      <c r="FVR204" s="605"/>
      <c r="FVS204" s="605"/>
      <c r="FVT204" s="605"/>
      <c r="FVU204" s="605"/>
      <c r="FVV204" s="605"/>
      <c r="FVW204" s="605"/>
      <c r="FVX204" s="605"/>
      <c r="FVY204" s="605"/>
      <c r="FVZ204" s="605"/>
      <c r="FWA204" s="605"/>
      <c r="FWB204" s="605"/>
      <c r="FWC204" s="605"/>
      <c r="FWD204" s="605"/>
      <c r="FWE204" s="605"/>
      <c r="FWF204" s="605"/>
      <c r="FWG204" s="605"/>
      <c r="FWH204" s="605"/>
      <c r="FWI204" s="605"/>
      <c r="FWJ204" s="605"/>
      <c r="FWK204" s="605"/>
      <c r="FWL204" s="605"/>
      <c r="FWM204" s="605"/>
      <c r="FWN204" s="605"/>
      <c r="FWO204" s="605"/>
      <c r="FWP204" s="605"/>
      <c r="FWQ204" s="605"/>
      <c r="FWR204" s="605"/>
      <c r="FWS204" s="605"/>
      <c r="FWT204" s="605"/>
      <c r="FWU204" s="605"/>
      <c r="FWV204" s="605"/>
      <c r="FWW204" s="605"/>
      <c r="FWX204" s="605"/>
      <c r="FWY204" s="605"/>
      <c r="FWZ204" s="605"/>
      <c r="FXA204" s="605"/>
      <c r="FXB204" s="605"/>
      <c r="FXC204" s="605"/>
      <c r="FXD204" s="605"/>
      <c r="FXE204" s="605"/>
      <c r="FXF204" s="605"/>
      <c r="FXG204" s="605"/>
      <c r="FXH204" s="605"/>
      <c r="FXI204" s="605"/>
      <c r="FXJ204" s="605"/>
      <c r="FXK204" s="605"/>
      <c r="FXL204" s="605"/>
      <c r="FXM204" s="605"/>
      <c r="FXN204" s="605"/>
      <c r="FXO204" s="605"/>
      <c r="FXP204" s="605"/>
      <c r="FXQ204" s="605"/>
      <c r="FXR204" s="605"/>
      <c r="FXS204" s="605"/>
      <c r="FXT204" s="605"/>
      <c r="FXU204" s="605"/>
      <c r="FXV204" s="605"/>
      <c r="FXW204" s="605"/>
      <c r="FXX204" s="605"/>
      <c r="FXY204" s="605"/>
      <c r="FXZ204" s="605"/>
      <c r="FYA204" s="605"/>
      <c r="FYB204" s="605"/>
      <c r="FYC204" s="605"/>
      <c r="FYD204" s="605"/>
      <c r="FYE204" s="605"/>
      <c r="FYF204" s="605"/>
      <c r="FYG204" s="605"/>
      <c r="FYH204" s="605"/>
      <c r="FYI204" s="605"/>
      <c r="FYJ204" s="605"/>
      <c r="FYK204" s="605"/>
      <c r="FYL204" s="605"/>
      <c r="FYM204" s="605"/>
      <c r="FYN204" s="605"/>
      <c r="FYO204" s="605"/>
      <c r="FYP204" s="605"/>
      <c r="FYQ204" s="605"/>
      <c r="FYR204" s="605"/>
      <c r="FYS204" s="605"/>
      <c r="FYT204" s="605"/>
      <c r="FYU204" s="605"/>
      <c r="FYV204" s="605"/>
      <c r="FYW204" s="605"/>
      <c r="FYX204" s="605"/>
      <c r="FYY204" s="605"/>
      <c r="FYZ204" s="605"/>
      <c r="FZA204" s="605"/>
      <c r="FZB204" s="605"/>
      <c r="FZC204" s="605"/>
      <c r="FZD204" s="605"/>
      <c r="FZE204" s="605"/>
      <c r="FZF204" s="605"/>
      <c r="FZG204" s="605"/>
      <c r="FZH204" s="605"/>
      <c r="FZI204" s="605"/>
      <c r="FZJ204" s="605"/>
      <c r="FZK204" s="605"/>
      <c r="FZL204" s="605"/>
      <c r="FZM204" s="605"/>
      <c r="FZN204" s="605"/>
      <c r="FZO204" s="605"/>
      <c r="FZP204" s="605"/>
      <c r="FZQ204" s="605"/>
      <c r="FZR204" s="605"/>
      <c r="FZS204" s="605"/>
      <c r="FZT204" s="605"/>
      <c r="FZU204" s="605"/>
      <c r="FZV204" s="605"/>
      <c r="FZW204" s="605"/>
      <c r="FZX204" s="605"/>
      <c r="FZY204" s="605"/>
      <c r="FZZ204" s="605"/>
      <c r="GAA204" s="605"/>
      <c r="GAB204" s="605"/>
      <c r="GAC204" s="605"/>
      <c r="GAD204" s="605"/>
      <c r="GAE204" s="605"/>
      <c r="GAF204" s="605"/>
      <c r="GAG204" s="605"/>
      <c r="GAH204" s="605"/>
      <c r="GAI204" s="605"/>
      <c r="GAJ204" s="605"/>
      <c r="GAK204" s="605"/>
      <c r="GAL204" s="605"/>
      <c r="GAM204" s="605"/>
      <c r="GAN204" s="605"/>
      <c r="GAO204" s="605"/>
      <c r="GAP204" s="605"/>
      <c r="GAQ204" s="605"/>
      <c r="GAR204" s="605"/>
      <c r="GAS204" s="605"/>
      <c r="GAT204" s="605"/>
      <c r="GAU204" s="605"/>
      <c r="GAV204" s="605"/>
      <c r="GAW204" s="605"/>
      <c r="GAX204" s="605"/>
      <c r="GAY204" s="605"/>
      <c r="GAZ204" s="605"/>
      <c r="GBA204" s="605"/>
      <c r="GBB204" s="605"/>
      <c r="GBC204" s="605"/>
      <c r="GBD204" s="605"/>
      <c r="GBE204" s="605"/>
      <c r="GBF204" s="605"/>
      <c r="GBG204" s="605"/>
      <c r="GBH204" s="605"/>
      <c r="GBI204" s="605"/>
      <c r="GBJ204" s="605"/>
      <c r="GBK204" s="605"/>
      <c r="GBL204" s="605"/>
      <c r="GBM204" s="605"/>
      <c r="GBN204" s="605"/>
      <c r="GBO204" s="605"/>
      <c r="GBP204" s="605"/>
      <c r="GBQ204" s="605"/>
      <c r="GBR204" s="605"/>
      <c r="GBS204" s="605"/>
      <c r="GBT204" s="605"/>
      <c r="GBU204" s="605"/>
      <c r="GBV204" s="605"/>
      <c r="GBW204" s="605"/>
      <c r="GBX204" s="605"/>
      <c r="GBY204" s="605"/>
      <c r="GBZ204" s="605"/>
      <c r="GCA204" s="605"/>
      <c r="GCB204" s="605"/>
      <c r="GCC204" s="605"/>
      <c r="GCD204" s="605"/>
      <c r="GCE204" s="605"/>
      <c r="GCF204" s="605"/>
      <c r="GCG204" s="605"/>
      <c r="GCH204" s="605"/>
      <c r="GCI204" s="605"/>
      <c r="GCJ204" s="605"/>
      <c r="GCK204" s="605"/>
      <c r="GCL204" s="605"/>
      <c r="GCM204" s="605"/>
      <c r="GCN204" s="605"/>
      <c r="GCO204" s="605"/>
      <c r="GCP204" s="605"/>
      <c r="GCQ204" s="605"/>
      <c r="GCR204" s="605"/>
      <c r="GCS204" s="605"/>
      <c r="GCT204" s="605"/>
      <c r="GCU204" s="605"/>
      <c r="GCV204" s="605"/>
      <c r="GCW204" s="605"/>
      <c r="GCX204" s="605"/>
      <c r="GCY204" s="605"/>
      <c r="GCZ204" s="605"/>
      <c r="GDA204" s="605"/>
      <c r="GDB204" s="605"/>
      <c r="GDC204" s="605"/>
      <c r="GDD204" s="605"/>
      <c r="GDE204" s="605"/>
      <c r="GDF204" s="605"/>
      <c r="GDG204" s="605"/>
      <c r="GDH204" s="605"/>
      <c r="GDI204" s="605"/>
      <c r="GDJ204" s="605"/>
      <c r="GDK204" s="605"/>
      <c r="GDL204" s="605"/>
      <c r="GDM204" s="605"/>
      <c r="GDN204" s="605"/>
      <c r="GDO204" s="605"/>
      <c r="GDP204" s="605"/>
      <c r="GDQ204" s="605"/>
      <c r="GDR204" s="605"/>
      <c r="GDS204" s="605"/>
      <c r="GDT204" s="605"/>
      <c r="GDU204" s="605"/>
      <c r="GDV204" s="605"/>
      <c r="GDW204" s="605"/>
      <c r="GDX204" s="605"/>
      <c r="GDY204" s="605"/>
      <c r="GDZ204" s="605"/>
      <c r="GEA204" s="605"/>
      <c r="GEB204" s="605"/>
      <c r="GEC204" s="605"/>
      <c r="GED204" s="605"/>
      <c r="GEE204" s="605"/>
      <c r="GEF204" s="605"/>
      <c r="GEG204" s="605"/>
      <c r="GEH204" s="605"/>
      <c r="GEI204" s="605"/>
      <c r="GEJ204" s="605"/>
      <c r="GEK204" s="605"/>
      <c r="GEL204" s="605"/>
      <c r="GEM204" s="605"/>
      <c r="GEN204" s="605"/>
      <c r="GEO204" s="605"/>
      <c r="GEP204" s="605"/>
      <c r="GEQ204" s="605"/>
      <c r="GER204" s="605"/>
      <c r="GES204" s="605"/>
      <c r="GET204" s="605"/>
      <c r="GEU204" s="605"/>
      <c r="GEV204" s="605"/>
      <c r="GEW204" s="605"/>
      <c r="GEX204" s="605"/>
      <c r="GEY204" s="605"/>
      <c r="GEZ204" s="605"/>
      <c r="GFA204" s="605"/>
      <c r="GFB204" s="605"/>
      <c r="GFC204" s="605"/>
      <c r="GFD204" s="605"/>
      <c r="GFE204" s="605"/>
      <c r="GFF204" s="605"/>
      <c r="GFG204" s="605"/>
      <c r="GFH204" s="605"/>
      <c r="GFI204" s="605"/>
      <c r="GFJ204" s="605"/>
      <c r="GFK204" s="605"/>
      <c r="GFL204" s="605"/>
      <c r="GFM204" s="605"/>
      <c r="GFN204" s="605"/>
      <c r="GFO204" s="605"/>
      <c r="GFP204" s="605"/>
      <c r="GFQ204" s="605"/>
      <c r="GFR204" s="605"/>
      <c r="GFS204" s="605"/>
      <c r="GFT204" s="605"/>
      <c r="GFU204" s="605"/>
      <c r="GFV204" s="605"/>
      <c r="GFW204" s="605"/>
      <c r="GFX204" s="605"/>
      <c r="GFY204" s="605"/>
      <c r="GFZ204" s="605"/>
      <c r="GGA204" s="605"/>
      <c r="GGB204" s="605"/>
      <c r="GGC204" s="605"/>
      <c r="GGD204" s="605"/>
      <c r="GGE204" s="605"/>
      <c r="GGF204" s="605"/>
      <c r="GGG204" s="605"/>
      <c r="GGH204" s="605"/>
      <c r="GGI204" s="605"/>
      <c r="GGJ204" s="605"/>
      <c r="GGK204" s="605"/>
      <c r="GGL204" s="605"/>
      <c r="GGM204" s="605"/>
      <c r="GGN204" s="605"/>
      <c r="GGO204" s="605"/>
      <c r="GGP204" s="605"/>
      <c r="GGQ204" s="605"/>
      <c r="GGR204" s="605"/>
      <c r="GGS204" s="605"/>
      <c r="GGT204" s="605"/>
      <c r="GGU204" s="605"/>
      <c r="GGV204" s="605"/>
      <c r="GGW204" s="605"/>
      <c r="GGX204" s="605"/>
      <c r="GGY204" s="605"/>
      <c r="GGZ204" s="605"/>
      <c r="GHA204" s="605"/>
      <c r="GHB204" s="605"/>
      <c r="GHC204" s="605"/>
      <c r="GHD204" s="605"/>
      <c r="GHE204" s="605"/>
      <c r="GHF204" s="605"/>
      <c r="GHG204" s="605"/>
      <c r="GHH204" s="605"/>
      <c r="GHI204" s="605"/>
      <c r="GHJ204" s="605"/>
      <c r="GHK204" s="605"/>
      <c r="GHL204" s="605"/>
      <c r="GHM204" s="605"/>
      <c r="GHN204" s="605"/>
      <c r="GHO204" s="605"/>
      <c r="GHP204" s="605"/>
      <c r="GHQ204" s="605"/>
      <c r="GHR204" s="605"/>
      <c r="GHS204" s="605"/>
      <c r="GHT204" s="605"/>
      <c r="GHU204" s="605"/>
      <c r="GHV204" s="605"/>
      <c r="GHW204" s="605"/>
      <c r="GHX204" s="605"/>
      <c r="GHY204" s="605"/>
      <c r="GHZ204" s="605"/>
      <c r="GIA204" s="605"/>
      <c r="GIB204" s="605"/>
      <c r="GIC204" s="605"/>
      <c r="GID204" s="605"/>
      <c r="GIE204" s="605"/>
      <c r="GIF204" s="605"/>
      <c r="GIG204" s="605"/>
      <c r="GIH204" s="605"/>
      <c r="GII204" s="605"/>
      <c r="GIJ204" s="605"/>
      <c r="GIK204" s="605"/>
      <c r="GIL204" s="605"/>
      <c r="GIM204" s="605"/>
      <c r="GIN204" s="605"/>
      <c r="GIO204" s="605"/>
      <c r="GIP204" s="605"/>
      <c r="GIQ204" s="605"/>
      <c r="GIR204" s="605"/>
      <c r="GIS204" s="605"/>
      <c r="GIT204" s="605"/>
      <c r="GIU204" s="605"/>
      <c r="GIV204" s="605"/>
      <c r="GIW204" s="605"/>
      <c r="GIX204" s="605"/>
      <c r="GIY204" s="605"/>
      <c r="GIZ204" s="605"/>
      <c r="GJA204" s="605"/>
      <c r="GJB204" s="605"/>
      <c r="GJC204" s="605"/>
      <c r="GJD204" s="605"/>
      <c r="GJE204" s="605"/>
      <c r="GJF204" s="605"/>
      <c r="GJG204" s="605"/>
      <c r="GJH204" s="605"/>
      <c r="GJI204" s="605"/>
      <c r="GJJ204" s="605"/>
      <c r="GJK204" s="605"/>
      <c r="GJL204" s="605"/>
      <c r="GJM204" s="605"/>
      <c r="GJN204" s="605"/>
      <c r="GJO204" s="605"/>
      <c r="GJP204" s="605"/>
      <c r="GJQ204" s="605"/>
      <c r="GJR204" s="605"/>
      <c r="GJS204" s="605"/>
      <c r="GJT204" s="605"/>
      <c r="GJU204" s="605"/>
      <c r="GJV204" s="605"/>
      <c r="GJW204" s="605"/>
      <c r="GJX204" s="605"/>
      <c r="GJY204" s="605"/>
      <c r="GJZ204" s="605"/>
      <c r="GKA204" s="605"/>
      <c r="GKB204" s="605"/>
      <c r="GKC204" s="605"/>
      <c r="GKD204" s="605"/>
      <c r="GKE204" s="605"/>
      <c r="GKF204" s="605"/>
      <c r="GKG204" s="605"/>
      <c r="GKH204" s="605"/>
      <c r="GKI204" s="605"/>
      <c r="GKJ204" s="605"/>
      <c r="GKK204" s="605"/>
      <c r="GKL204" s="605"/>
      <c r="GKM204" s="605"/>
      <c r="GKN204" s="605"/>
      <c r="GKO204" s="605"/>
      <c r="GKP204" s="605"/>
      <c r="GKQ204" s="605"/>
      <c r="GKR204" s="605"/>
      <c r="GKS204" s="605"/>
      <c r="GKT204" s="605"/>
      <c r="GKU204" s="605"/>
      <c r="GKV204" s="605"/>
      <c r="GKW204" s="605"/>
      <c r="GKX204" s="605"/>
      <c r="GKY204" s="605"/>
      <c r="GKZ204" s="605"/>
      <c r="GLA204" s="605"/>
      <c r="GLB204" s="605"/>
      <c r="GLC204" s="605"/>
      <c r="GLD204" s="605"/>
      <c r="GLE204" s="605"/>
      <c r="GLF204" s="605"/>
      <c r="GLG204" s="605"/>
      <c r="GLH204" s="605"/>
      <c r="GLI204" s="605"/>
      <c r="GLJ204" s="605"/>
      <c r="GLK204" s="605"/>
      <c r="GLL204" s="605"/>
      <c r="GLM204" s="605"/>
      <c r="GLN204" s="605"/>
      <c r="GLO204" s="605"/>
      <c r="GLP204" s="605"/>
      <c r="GLQ204" s="605"/>
      <c r="GLR204" s="605"/>
      <c r="GLS204" s="605"/>
      <c r="GLT204" s="605"/>
      <c r="GLU204" s="605"/>
      <c r="GLV204" s="605"/>
      <c r="GLW204" s="605"/>
      <c r="GLX204" s="605"/>
      <c r="GLY204" s="605"/>
      <c r="GLZ204" s="605"/>
      <c r="GMA204" s="605"/>
      <c r="GMB204" s="605"/>
      <c r="GMC204" s="605"/>
      <c r="GMD204" s="605"/>
      <c r="GME204" s="605"/>
      <c r="GMF204" s="605"/>
      <c r="GMG204" s="605"/>
      <c r="GMH204" s="605"/>
      <c r="GMI204" s="605"/>
      <c r="GMJ204" s="605"/>
      <c r="GMK204" s="605"/>
      <c r="GML204" s="605"/>
      <c r="GMM204" s="605"/>
      <c r="GMN204" s="605"/>
      <c r="GMO204" s="605"/>
      <c r="GMP204" s="605"/>
      <c r="GMQ204" s="605"/>
      <c r="GMR204" s="605"/>
      <c r="GMS204" s="605"/>
      <c r="GMT204" s="605"/>
      <c r="GMU204" s="605"/>
      <c r="GMV204" s="605"/>
      <c r="GMW204" s="605"/>
      <c r="GMX204" s="605"/>
      <c r="GMY204" s="605"/>
      <c r="GMZ204" s="605"/>
      <c r="GNA204" s="605"/>
      <c r="GNB204" s="605"/>
      <c r="GNC204" s="605"/>
      <c r="GND204" s="605"/>
      <c r="GNE204" s="605"/>
      <c r="GNF204" s="605"/>
      <c r="GNG204" s="605"/>
      <c r="GNH204" s="605"/>
      <c r="GNI204" s="605"/>
      <c r="GNJ204" s="605"/>
      <c r="GNK204" s="605"/>
      <c r="GNL204" s="605"/>
      <c r="GNM204" s="605"/>
      <c r="GNN204" s="605"/>
      <c r="GNO204" s="605"/>
      <c r="GNP204" s="605"/>
      <c r="GNQ204" s="605"/>
      <c r="GNR204" s="605"/>
      <c r="GNS204" s="605"/>
      <c r="GNT204" s="605"/>
      <c r="GNU204" s="605"/>
      <c r="GNV204" s="605"/>
      <c r="GNW204" s="605"/>
      <c r="GNX204" s="605"/>
      <c r="GNY204" s="605"/>
      <c r="GNZ204" s="605"/>
      <c r="GOA204" s="605"/>
      <c r="GOB204" s="605"/>
      <c r="GOC204" s="605"/>
      <c r="GOD204" s="605"/>
      <c r="GOE204" s="605"/>
      <c r="GOF204" s="605"/>
      <c r="GOG204" s="605"/>
      <c r="GOH204" s="605"/>
      <c r="GOI204" s="605"/>
      <c r="GOJ204" s="605"/>
      <c r="GOK204" s="605"/>
      <c r="GOL204" s="605"/>
      <c r="GOM204" s="605"/>
      <c r="GON204" s="605"/>
      <c r="GOO204" s="605"/>
      <c r="GOP204" s="605"/>
      <c r="GOQ204" s="605"/>
      <c r="GOR204" s="605"/>
      <c r="GOS204" s="605"/>
      <c r="GOT204" s="605"/>
      <c r="GOU204" s="605"/>
      <c r="GOV204" s="605"/>
      <c r="GOW204" s="605"/>
      <c r="GOX204" s="605"/>
      <c r="GOY204" s="605"/>
      <c r="GOZ204" s="605"/>
      <c r="GPA204" s="605"/>
      <c r="GPB204" s="605"/>
      <c r="GPC204" s="605"/>
      <c r="GPD204" s="605"/>
      <c r="GPE204" s="605"/>
      <c r="GPF204" s="605"/>
      <c r="GPG204" s="605"/>
      <c r="GPH204" s="605"/>
      <c r="GPI204" s="605"/>
      <c r="GPJ204" s="605"/>
      <c r="GPK204" s="605"/>
      <c r="GPL204" s="605"/>
      <c r="GPM204" s="605"/>
      <c r="GPN204" s="605"/>
      <c r="GPO204" s="605"/>
      <c r="GPP204" s="605"/>
      <c r="GPQ204" s="605"/>
      <c r="GPR204" s="605"/>
      <c r="GPS204" s="605"/>
      <c r="GPT204" s="605"/>
      <c r="GPU204" s="605"/>
      <c r="GPV204" s="605"/>
      <c r="GPW204" s="605"/>
      <c r="GPX204" s="605"/>
      <c r="GPY204" s="605"/>
      <c r="GPZ204" s="605"/>
      <c r="GQA204" s="605"/>
      <c r="GQB204" s="605"/>
      <c r="GQC204" s="605"/>
      <c r="GQD204" s="605"/>
      <c r="GQE204" s="605"/>
      <c r="GQF204" s="605"/>
      <c r="GQG204" s="605"/>
      <c r="GQH204" s="605"/>
      <c r="GQI204" s="605"/>
      <c r="GQJ204" s="605"/>
      <c r="GQK204" s="605"/>
      <c r="GQL204" s="605"/>
      <c r="GQM204" s="605"/>
      <c r="GQN204" s="605"/>
      <c r="GQO204" s="605"/>
      <c r="GQP204" s="605"/>
      <c r="GQQ204" s="605"/>
      <c r="GQR204" s="605"/>
      <c r="GQS204" s="605"/>
      <c r="GQT204" s="605"/>
      <c r="GQU204" s="605"/>
      <c r="GQV204" s="605"/>
      <c r="GQW204" s="605"/>
      <c r="GQX204" s="605"/>
      <c r="GQY204" s="605"/>
      <c r="GQZ204" s="605"/>
      <c r="GRA204" s="605"/>
      <c r="GRB204" s="605"/>
      <c r="GRC204" s="605"/>
      <c r="GRD204" s="605"/>
      <c r="GRE204" s="605"/>
      <c r="GRF204" s="605"/>
      <c r="GRG204" s="605"/>
      <c r="GRH204" s="605"/>
      <c r="GRI204" s="605"/>
      <c r="GRJ204" s="605"/>
      <c r="GRK204" s="605"/>
      <c r="GRL204" s="605"/>
      <c r="GRM204" s="605"/>
      <c r="GRN204" s="605"/>
      <c r="GRO204" s="605"/>
      <c r="GRP204" s="605"/>
      <c r="GRQ204" s="605"/>
      <c r="GRR204" s="605"/>
      <c r="GRS204" s="605"/>
      <c r="GRT204" s="605"/>
      <c r="GRU204" s="605"/>
      <c r="GRV204" s="605"/>
      <c r="GRW204" s="605"/>
      <c r="GRX204" s="605"/>
      <c r="GRY204" s="605"/>
      <c r="GRZ204" s="605"/>
      <c r="GSA204" s="605"/>
      <c r="GSB204" s="605"/>
      <c r="GSC204" s="605"/>
      <c r="GSD204" s="605"/>
      <c r="GSE204" s="605"/>
      <c r="GSF204" s="605"/>
      <c r="GSG204" s="605"/>
      <c r="GSH204" s="605"/>
      <c r="GSI204" s="605"/>
      <c r="GSJ204" s="605"/>
      <c r="GSK204" s="605"/>
      <c r="GSL204" s="605"/>
      <c r="GSM204" s="605"/>
      <c r="GSN204" s="605"/>
      <c r="GSO204" s="605"/>
      <c r="GSP204" s="605"/>
      <c r="GSQ204" s="605"/>
      <c r="GSR204" s="605"/>
      <c r="GSS204" s="605"/>
      <c r="GST204" s="605"/>
      <c r="GSU204" s="605"/>
      <c r="GSV204" s="605"/>
      <c r="GSW204" s="605"/>
      <c r="GSX204" s="605"/>
      <c r="GSY204" s="605"/>
      <c r="GSZ204" s="605"/>
      <c r="GTA204" s="605"/>
      <c r="GTB204" s="605"/>
      <c r="GTC204" s="605"/>
      <c r="GTD204" s="605"/>
      <c r="GTE204" s="605"/>
      <c r="GTF204" s="605"/>
      <c r="GTG204" s="605"/>
      <c r="GTH204" s="605"/>
      <c r="GTI204" s="605"/>
      <c r="GTJ204" s="605"/>
      <c r="GTK204" s="605"/>
      <c r="GTL204" s="605"/>
      <c r="GTM204" s="605"/>
      <c r="GTN204" s="605"/>
      <c r="GTO204" s="605"/>
      <c r="GTP204" s="605"/>
      <c r="GTQ204" s="605"/>
      <c r="GTR204" s="605"/>
      <c r="GTS204" s="605"/>
      <c r="GTT204" s="605"/>
      <c r="GTU204" s="605"/>
      <c r="GTV204" s="605"/>
      <c r="GTW204" s="605"/>
      <c r="GTX204" s="605"/>
      <c r="GTY204" s="605"/>
      <c r="GTZ204" s="605"/>
      <c r="GUA204" s="605"/>
      <c r="GUB204" s="605"/>
      <c r="GUC204" s="605"/>
      <c r="GUD204" s="605"/>
      <c r="GUE204" s="605"/>
      <c r="GUF204" s="605"/>
      <c r="GUG204" s="605"/>
      <c r="GUH204" s="605"/>
      <c r="GUI204" s="605"/>
      <c r="GUJ204" s="605"/>
      <c r="GUK204" s="605"/>
      <c r="GUL204" s="605"/>
      <c r="GUM204" s="605"/>
      <c r="GUN204" s="605"/>
      <c r="GUO204" s="605"/>
      <c r="GUP204" s="605"/>
      <c r="GUQ204" s="605"/>
      <c r="GUR204" s="605"/>
      <c r="GUS204" s="605"/>
      <c r="GUT204" s="605"/>
      <c r="GUU204" s="605"/>
      <c r="GUV204" s="605"/>
      <c r="GUW204" s="605"/>
      <c r="GUX204" s="605"/>
      <c r="GUY204" s="605"/>
      <c r="GUZ204" s="605"/>
      <c r="GVA204" s="605"/>
      <c r="GVB204" s="605"/>
      <c r="GVC204" s="605"/>
      <c r="GVD204" s="605"/>
      <c r="GVE204" s="605"/>
      <c r="GVF204" s="605"/>
      <c r="GVG204" s="605"/>
      <c r="GVH204" s="605"/>
      <c r="GVI204" s="605"/>
      <c r="GVJ204" s="605"/>
      <c r="GVK204" s="605"/>
      <c r="GVL204" s="605"/>
      <c r="GVM204" s="605"/>
      <c r="GVN204" s="605"/>
      <c r="GVO204" s="605"/>
      <c r="GVP204" s="605"/>
      <c r="GVQ204" s="605"/>
      <c r="GVR204" s="605"/>
      <c r="GVS204" s="605"/>
      <c r="GVT204" s="605"/>
      <c r="GVU204" s="605"/>
      <c r="GVV204" s="605"/>
      <c r="GVW204" s="605"/>
      <c r="GVX204" s="605"/>
      <c r="GVY204" s="605"/>
      <c r="GVZ204" s="605"/>
      <c r="GWA204" s="605"/>
      <c r="GWB204" s="605"/>
      <c r="GWC204" s="605"/>
      <c r="GWD204" s="605"/>
      <c r="GWE204" s="605"/>
      <c r="GWF204" s="605"/>
      <c r="GWG204" s="605"/>
      <c r="GWH204" s="605"/>
      <c r="GWI204" s="605"/>
      <c r="GWJ204" s="605"/>
      <c r="GWK204" s="605"/>
      <c r="GWL204" s="605"/>
      <c r="GWM204" s="605"/>
      <c r="GWN204" s="605"/>
      <c r="GWO204" s="605"/>
      <c r="GWP204" s="605"/>
      <c r="GWQ204" s="605"/>
      <c r="GWR204" s="605"/>
      <c r="GWS204" s="605"/>
      <c r="GWT204" s="605"/>
      <c r="GWU204" s="605"/>
      <c r="GWV204" s="605"/>
      <c r="GWW204" s="605"/>
      <c r="GWX204" s="605"/>
      <c r="GWY204" s="605"/>
      <c r="GWZ204" s="605"/>
      <c r="GXA204" s="605"/>
      <c r="GXB204" s="605"/>
      <c r="GXC204" s="605"/>
      <c r="GXD204" s="605"/>
      <c r="GXE204" s="605"/>
      <c r="GXF204" s="605"/>
      <c r="GXG204" s="605"/>
      <c r="GXH204" s="605"/>
      <c r="GXI204" s="605"/>
      <c r="GXJ204" s="605"/>
      <c r="GXK204" s="605"/>
      <c r="GXL204" s="605"/>
      <c r="GXM204" s="605"/>
      <c r="GXN204" s="605"/>
      <c r="GXO204" s="605"/>
      <c r="GXP204" s="605"/>
      <c r="GXQ204" s="605"/>
      <c r="GXR204" s="605"/>
      <c r="GXS204" s="605"/>
      <c r="GXT204" s="605"/>
      <c r="GXU204" s="605"/>
      <c r="GXV204" s="605"/>
      <c r="GXW204" s="605"/>
      <c r="GXX204" s="605"/>
      <c r="GXY204" s="605"/>
      <c r="GXZ204" s="605"/>
      <c r="GYA204" s="605"/>
      <c r="GYB204" s="605"/>
      <c r="GYC204" s="605"/>
      <c r="GYD204" s="605"/>
      <c r="GYE204" s="605"/>
      <c r="GYF204" s="605"/>
      <c r="GYG204" s="605"/>
      <c r="GYH204" s="605"/>
      <c r="GYI204" s="605"/>
      <c r="GYJ204" s="605"/>
      <c r="GYK204" s="605"/>
      <c r="GYL204" s="605"/>
      <c r="GYM204" s="605"/>
      <c r="GYN204" s="605"/>
      <c r="GYO204" s="605"/>
      <c r="GYP204" s="605"/>
      <c r="GYQ204" s="605"/>
      <c r="GYR204" s="605"/>
      <c r="GYS204" s="605"/>
      <c r="GYT204" s="605"/>
      <c r="GYU204" s="605"/>
      <c r="GYV204" s="605"/>
      <c r="GYW204" s="605"/>
      <c r="GYX204" s="605"/>
      <c r="GYY204" s="605"/>
      <c r="GYZ204" s="605"/>
      <c r="GZA204" s="605"/>
      <c r="GZB204" s="605"/>
      <c r="GZC204" s="605"/>
      <c r="GZD204" s="605"/>
      <c r="GZE204" s="605"/>
      <c r="GZF204" s="605"/>
      <c r="GZG204" s="605"/>
      <c r="GZH204" s="605"/>
      <c r="GZI204" s="605"/>
      <c r="GZJ204" s="605"/>
      <c r="GZK204" s="605"/>
      <c r="GZL204" s="605"/>
      <c r="GZM204" s="605"/>
      <c r="GZN204" s="605"/>
      <c r="GZO204" s="605"/>
      <c r="GZP204" s="605"/>
      <c r="GZQ204" s="605"/>
      <c r="GZR204" s="605"/>
      <c r="GZS204" s="605"/>
      <c r="GZT204" s="605"/>
      <c r="GZU204" s="605"/>
      <c r="GZV204" s="605"/>
      <c r="GZW204" s="605"/>
      <c r="GZX204" s="605"/>
      <c r="GZY204" s="605"/>
      <c r="GZZ204" s="605"/>
      <c r="HAA204" s="605"/>
      <c r="HAB204" s="605"/>
      <c r="HAC204" s="605"/>
      <c r="HAD204" s="605"/>
      <c r="HAE204" s="605"/>
      <c r="HAF204" s="605"/>
      <c r="HAG204" s="605"/>
      <c r="HAH204" s="605"/>
      <c r="HAI204" s="605"/>
      <c r="HAJ204" s="605"/>
      <c r="HAK204" s="605"/>
      <c r="HAL204" s="605"/>
      <c r="HAM204" s="605"/>
      <c r="HAN204" s="605"/>
      <c r="HAO204" s="605"/>
      <c r="HAP204" s="605"/>
      <c r="HAQ204" s="605"/>
      <c r="HAR204" s="605"/>
      <c r="HAS204" s="605"/>
      <c r="HAT204" s="605"/>
      <c r="HAU204" s="605"/>
      <c r="HAV204" s="605"/>
      <c r="HAW204" s="605"/>
      <c r="HAX204" s="605"/>
      <c r="HAY204" s="605"/>
      <c r="HAZ204" s="605"/>
      <c r="HBA204" s="605"/>
      <c r="HBB204" s="605"/>
      <c r="HBC204" s="605"/>
      <c r="HBD204" s="605"/>
      <c r="HBE204" s="605"/>
      <c r="HBF204" s="605"/>
      <c r="HBG204" s="605"/>
      <c r="HBH204" s="605"/>
      <c r="HBI204" s="605"/>
      <c r="HBJ204" s="605"/>
      <c r="HBK204" s="605"/>
      <c r="HBL204" s="605"/>
      <c r="HBM204" s="605"/>
      <c r="HBN204" s="605"/>
      <c r="HBO204" s="605"/>
      <c r="HBP204" s="605"/>
      <c r="HBQ204" s="605"/>
      <c r="HBR204" s="605"/>
      <c r="HBS204" s="605"/>
      <c r="HBT204" s="605"/>
      <c r="HBU204" s="605"/>
      <c r="HBV204" s="605"/>
      <c r="HBW204" s="605"/>
      <c r="HBX204" s="605"/>
      <c r="HBY204" s="605"/>
      <c r="HBZ204" s="605"/>
      <c r="HCA204" s="605"/>
      <c r="HCB204" s="605"/>
      <c r="HCC204" s="605"/>
      <c r="HCD204" s="605"/>
      <c r="HCE204" s="605"/>
      <c r="HCF204" s="605"/>
      <c r="HCG204" s="605"/>
      <c r="HCH204" s="605"/>
      <c r="HCI204" s="605"/>
      <c r="HCJ204" s="605"/>
      <c r="HCK204" s="605"/>
      <c r="HCL204" s="605"/>
      <c r="HCM204" s="605"/>
      <c r="HCN204" s="605"/>
      <c r="HCO204" s="605"/>
      <c r="HCP204" s="605"/>
      <c r="HCQ204" s="605"/>
      <c r="HCR204" s="605"/>
      <c r="HCS204" s="605"/>
      <c r="HCT204" s="605"/>
      <c r="HCU204" s="605"/>
      <c r="HCV204" s="605"/>
      <c r="HCW204" s="605"/>
      <c r="HCX204" s="605"/>
      <c r="HCY204" s="605"/>
      <c r="HCZ204" s="605"/>
      <c r="HDA204" s="605"/>
      <c r="HDB204" s="605"/>
      <c r="HDC204" s="605"/>
      <c r="HDD204" s="605"/>
      <c r="HDE204" s="605"/>
      <c r="HDF204" s="605"/>
      <c r="HDG204" s="605"/>
      <c r="HDH204" s="605"/>
      <c r="HDI204" s="605"/>
      <c r="HDJ204" s="605"/>
      <c r="HDK204" s="605"/>
      <c r="HDL204" s="605"/>
      <c r="HDM204" s="605"/>
      <c r="HDN204" s="605"/>
      <c r="HDO204" s="605"/>
      <c r="HDP204" s="605"/>
      <c r="HDQ204" s="605"/>
      <c r="HDR204" s="605"/>
      <c r="HDS204" s="605"/>
      <c r="HDT204" s="605"/>
      <c r="HDU204" s="605"/>
      <c r="HDV204" s="605"/>
      <c r="HDW204" s="605"/>
      <c r="HDX204" s="605"/>
      <c r="HDY204" s="605"/>
      <c r="HDZ204" s="605"/>
      <c r="HEA204" s="605"/>
      <c r="HEB204" s="605"/>
      <c r="HEC204" s="605"/>
      <c r="HED204" s="605"/>
      <c r="HEE204" s="605"/>
      <c r="HEF204" s="605"/>
      <c r="HEG204" s="605"/>
      <c r="HEH204" s="605"/>
      <c r="HEI204" s="605"/>
      <c r="HEJ204" s="605"/>
      <c r="HEK204" s="605"/>
      <c r="HEL204" s="605"/>
      <c r="HEM204" s="605"/>
      <c r="HEN204" s="605"/>
      <c r="HEO204" s="605"/>
      <c r="HEP204" s="605"/>
      <c r="HEQ204" s="605"/>
      <c r="HER204" s="605"/>
      <c r="HES204" s="605"/>
      <c r="HET204" s="605"/>
      <c r="HEU204" s="605"/>
      <c r="HEV204" s="605"/>
      <c r="HEW204" s="605"/>
      <c r="HEX204" s="605"/>
      <c r="HEY204" s="605"/>
      <c r="HEZ204" s="605"/>
      <c r="HFA204" s="605"/>
      <c r="HFB204" s="605"/>
      <c r="HFC204" s="605"/>
      <c r="HFD204" s="605"/>
      <c r="HFE204" s="605"/>
      <c r="HFF204" s="605"/>
      <c r="HFG204" s="605"/>
      <c r="HFH204" s="605"/>
      <c r="HFI204" s="605"/>
      <c r="HFJ204" s="605"/>
      <c r="HFK204" s="605"/>
      <c r="HFL204" s="605"/>
      <c r="HFM204" s="605"/>
      <c r="HFN204" s="605"/>
      <c r="HFO204" s="605"/>
      <c r="HFP204" s="605"/>
      <c r="HFQ204" s="605"/>
      <c r="HFR204" s="605"/>
      <c r="HFS204" s="605"/>
      <c r="HFT204" s="605"/>
      <c r="HFU204" s="605"/>
      <c r="HFV204" s="605"/>
      <c r="HFW204" s="605"/>
      <c r="HFX204" s="605"/>
      <c r="HFY204" s="605"/>
      <c r="HFZ204" s="605"/>
      <c r="HGA204" s="605"/>
      <c r="HGB204" s="605"/>
      <c r="HGC204" s="605"/>
      <c r="HGD204" s="605"/>
      <c r="HGE204" s="605"/>
      <c r="HGF204" s="605"/>
      <c r="HGG204" s="605"/>
      <c r="HGH204" s="605"/>
      <c r="HGI204" s="605"/>
      <c r="HGJ204" s="605"/>
      <c r="HGK204" s="605"/>
      <c r="HGL204" s="605"/>
      <c r="HGM204" s="605"/>
      <c r="HGN204" s="605"/>
      <c r="HGO204" s="605"/>
      <c r="HGP204" s="605"/>
      <c r="HGQ204" s="605"/>
      <c r="HGR204" s="605"/>
      <c r="HGS204" s="605"/>
      <c r="HGT204" s="605"/>
      <c r="HGU204" s="605"/>
      <c r="HGV204" s="605"/>
      <c r="HGW204" s="605"/>
      <c r="HGX204" s="605"/>
      <c r="HGY204" s="605"/>
      <c r="HGZ204" s="605"/>
      <c r="HHA204" s="605"/>
      <c r="HHB204" s="605"/>
      <c r="HHC204" s="605"/>
      <c r="HHD204" s="605"/>
      <c r="HHE204" s="605"/>
      <c r="HHF204" s="605"/>
      <c r="HHG204" s="605"/>
      <c r="HHH204" s="605"/>
      <c r="HHI204" s="605"/>
      <c r="HHJ204" s="605"/>
      <c r="HHK204" s="605"/>
      <c r="HHL204" s="605"/>
      <c r="HHM204" s="605"/>
      <c r="HHN204" s="605"/>
      <c r="HHO204" s="605"/>
      <c r="HHP204" s="605"/>
      <c r="HHQ204" s="605"/>
      <c r="HHR204" s="605"/>
      <c r="HHS204" s="605"/>
      <c r="HHT204" s="605"/>
      <c r="HHU204" s="605"/>
      <c r="HHV204" s="605"/>
      <c r="HHW204" s="605"/>
      <c r="HHX204" s="605"/>
      <c r="HHY204" s="605"/>
      <c r="HHZ204" s="605"/>
      <c r="HIA204" s="605"/>
      <c r="HIB204" s="605"/>
      <c r="HIC204" s="605"/>
      <c r="HID204" s="605"/>
      <c r="HIE204" s="605"/>
      <c r="HIF204" s="605"/>
      <c r="HIG204" s="605"/>
      <c r="HIH204" s="605"/>
      <c r="HII204" s="605"/>
      <c r="HIJ204" s="605"/>
      <c r="HIK204" s="605"/>
      <c r="HIL204" s="605"/>
      <c r="HIM204" s="605"/>
      <c r="HIN204" s="605"/>
      <c r="HIO204" s="605"/>
      <c r="HIP204" s="605"/>
      <c r="HIQ204" s="605"/>
      <c r="HIR204" s="605"/>
      <c r="HIS204" s="605"/>
      <c r="HIT204" s="605"/>
      <c r="HIU204" s="605"/>
      <c r="HIV204" s="605"/>
      <c r="HIW204" s="605"/>
      <c r="HIX204" s="605"/>
      <c r="HIY204" s="605"/>
      <c r="HIZ204" s="605"/>
      <c r="HJA204" s="605"/>
      <c r="HJB204" s="605"/>
      <c r="HJC204" s="605"/>
      <c r="HJD204" s="605"/>
      <c r="HJE204" s="605"/>
      <c r="HJF204" s="605"/>
      <c r="HJG204" s="605"/>
      <c r="HJH204" s="605"/>
      <c r="HJI204" s="605"/>
      <c r="HJJ204" s="605"/>
      <c r="HJK204" s="605"/>
      <c r="HJL204" s="605"/>
      <c r="HJM204" s="605"/>
      <c r="HJN204" s="605"/>
      <c r="HJO204" s="605"/>
      <c r="HJP204" s="605"/>
      <c r="HJQ204" s="605"/>
      <c r="HJR204" s="605"/>
      <c r="HJS204" s="605"/>
      <c r="HJT204" s="605"/>
      <c r="HJU204" s="605"/>
      <c r="HJV204" s="605"/>
      <c r="HJW204" s="605"/>
      <c r="HJX204" s="605"/>
      <c r="HJY204" s="605"/>
      <c r="HJZ204" s="605"/>
      <c r="HKA204" s="605"/>
      <c r="HKB204" s="605"/>
      <c r="HKC204" s="605"/>
      <c r="HKD204" s="605"/>
      <c r="HKE204" s="605"/>
      <c r="HKF204" s="605"/>
      <c r="HKG204" s="605"/>
      <c r="HKH204" s="605"/>
      <c r="HKI204" s="605"/>
      <c r="HKJ204" s="605"/>
      <c r="HKK204" s="605"/>
      <c r="HKL204" s="605"/>
      <c r="HKM204" s="605"/>
      <c r="HKN204" s="605"/>
      <c r="HKO204" s="605"/>
      <c r="HKP204" s="605"/>
      <c r="HKQ204" s="605"/>
      <c r="HKR204" s="605"/>
      <c r="HKS204" s="605"/>
      <c r="HKT204" s="605"/>
      <c r="HKU204" s="605"/>
      <c r="HKV204" s="605"/>
      <c r="HKW204" s="605"/>
      <c r="HKX204" s="605"/>
      <c r="HKY204" s="605"/>
      <c r="HKZ204" s="605"/>
      <c r="HLA204" s="605"/>
      <c r="HLB204" s="605"/>
      <c r="HLC204" s="605"/>
      <c r="HLD204" s="605"/>
      <c r="HLE204" s="605"/>
      <c r="HLF204" s="605"/>
      <c r="HLG204" s="605"/>
      <c r="HLH204" s="605"/>
      <c r="HLI204" s="605"/>
      <c r="HLJ204" s="605"/>
      <c r="HLK204" s="605"/>
      <c r="HLL204" s="605"/>
      <c r="HLM204" s="605"/>
      <c r="HLN204" s="605"/>
      <c r="HLO204" s="605"/>
      <c r="HLP204" s="605"/>
      <c r="HLQ204" s="605"/>
      <c r="HLR204" s="605"/>
      <c r="HLS204" s="605"/>
      <c r="HLT204" s="605"/>
      <c r="HLU204" s="605"/>
      <c r="HLV204" s="605"/>
      <c r="HLW204" s="605"/>
      <c r="HLX204" s="605"/>
      <c r="HLY204" s="605"/>
      <c r="HLZ204" s="605"/>
      <c r="HMA204" s="605"/>
      <c r="HMB204" s="605"/>
      <c r="HMC204" s="605"/>
      <c r="HMD204" s="605"/>
      <c r="HME204" s="605"/>
      <c r="HMF204" s="605"/>
      <c r="HMG204" s="605"/>
      <c r="HMH204" s="605"/>
      <c r="HMI204" s="605"/>
      <c r="HMJ204" s="605"/>
      <c r="HMK204" s="605"/>
      <c r="HML204" s="605"/>
      <c r="HMM204" s="605"/>
      <c r="HMN204" s="605"/>
      <c r="HMO204" s="605"/>
      <c r="HMP204" s="605"/>
      <c r="HMQ204" s="605"/>
      <c r="HMR204" s="605"/>
      <c r="HMS204" s="605"/>
      <c r="HMT204" s="605"/>
      <c r="HMU204" s="605"/>
      <c r="HMV204" s="605"/>
      <c r="HMW204" s="605"/>
      <c r="HMX204" s="605"/>
      <c r="HMY204" s="605"/>
      <c r="HMZ204" s="605"/>
      <c r="HNA204" s="605"/>
      <c r="HNB204" s="605"/>
      <c r="HNC204" s="605"/>
      <c r="HND204" s="605"/>
      <c r="HNE204" s="605"/>
      <c r="HNF204" s="605"/>
      <c r="HNG204" s="605"/>
      <c r="HNH204" s="605"/>
      <c r="HNI204" s="605"/>
      <c r="HNJ204" s="605"/>
      <c r="HNK204" s="605"/>
      <c r="HNL204" s="605"/>
      <c r="HNM204" s="605"/>
      <c r="HNN204" s="605"/>
      <c r="HNO204" s="605"/>
      <c r="HNP204" s="605"/>
      <c r="HNQ204" s="605"/>
      <c r="HNR204" s="605"/>
      <c r="HNS204" s="605"/>
      <c r="HNT204" s="605"/>
      <c r="HNU204" s="605"/>
      <c r="HNV204" s="605"/>
      <c r="HNW204" s="605"/>
      <c r="HNX204" s="605"/>
      <c r="HNY204" s="605"/>
      <c r="HNZ204" s="605"/>
      <c r="HOA204" s="605"/>
      <c r="HOB204" s="605"/>
      <c r="HOC204" s="605"/>
      <c r="HOD204" s="605"/>
      <c r="HOE204" s="605"/>
      <c r="HOF204" s="605"/>
      <c r="HOG204" s="605"/>
      <c r="HOH204" s="605"/>
      <c r="HOI204" s="605"/>
      <c r="HOJ204" s="605"/>
      <c r="HOK204" s="605"/>
      <c r="HOL204" s="605"/>
      <c r="HOM204" s="605"/>
      <c r="HON204" s="605"/>
      <c r="HOO204" s="605"/>
      <c r="HOP204" s="605"/>
      <c r="HOQ204" s="605"/>
      <c r="HOR204" s="605"/>
      <c r="HOS204" s="605"/>
      <c r="HOT204" s="605"/>
      <c r="HOU204" s="605"/>
      <c r="HOV204" s="605"/>
      <c r="HOW204" s="605"/>
      <c r="HOX204" s="605"/>
      <c r="HOY204" s="605"/>
      <c r="HOZ204" s="605"/>
      <c r="HPA204" s="605"/>
      <c r="HPB204" s="605"/>
      <c r="HPC204" s="605"/>
      <c r="HPD204" s="605"/>
      <c r="HPE204" s="605"/>
      <c r="HPF204" s="605"/>
      <c r="HPG204" s="605"/>
      <c r="HPH204" s="605"/>
      <c r="HPI204" s="605"/>
      <c r="HPJ204" s="605"/>
      <c r="HPK204" s="605"/>
      <c r="HPL204" s="605"/>
      <c r="HPM204" s="605"/>
      <c r="HPN204" s="605"/>
      <c r="HPO204" s="605"/>
      <c r="HPP204" s="605"/>
      <c r="HPQ204" s="605"/>
      <c r="HPR204" s="605"/>
      <c r="HPS204" s="605"/>
      <c r="HPT204" s="605"/>
      <c r="HPU204" s="605"/>
      <c r="HPV204" s="605"/>
      <c r="HPW204" s="605"/>
      <c r="HPX204" s="605"/>
      <c r="HPY204" s="605"/>
      <c r="HPZ204" s="605"/>
      <c r="HQA204" s="605"/>
      <c r="HQB204" s="605"/>
      <c r="HQC204" s="605"/>
      <c r="HQD204" s="605"/>
      <c r="HQE204" s="605"/>
      <c r="HQF204" s="605"/>
      <c r="HQG204" s="605"/>
      <c r="HQH204" s="605"/>
      <c r="HQI204" s="605"/>
      <c r="HQJ204" s="605"/>
      <c r="HQK204" s="605"/>
      <c r="HQL204" s="605"/>
      <c r="HQM204" s="605"/>
      <c r="HQN204" s="605"/>
      <c r="HQO204" s="605"/>
      <c r="HQP204" s="605"/>
      <c r="HQQ204" s="605"/>
      <c r="HQR204" s="605"/>
      <c r="HQS204" s="605"/>
      <c r="HQT204" s="605"/>
      <c r="HQU204" s="605"/>
      <c r="HQV204" s="605"/>
      <c r="HQW204" s="605"/>
      <c r="HQX204" s="605"/>
      <c r="HQY204" s="605"/>
      <c r="HQZ204" s="605"/>
      <c r="HRA204" s="605"/>
      <c r="HRB204" s="605"/>
      <c r="HRC204" s="605"/>
      <c r="HRD204" s="605"/>
      <c r="HRE204" s="605"/>
      <c r="HRF204" s="605"/>
      <c r="HRG204" s="605"/>
      <c r="HRH204" s="605"/>
      <c r="HRI204" s="605"/>
      <c r="HRJ204" s="605"/>
      <c r="HRK204" s="605"/>
      <c r="HRL204" s="605"/>
      <c r="HRM204" s="605"/>
      <c r="HRN204" s="605"/>
      <c r="HRO204" s="605"/>
      <c r="HRP204" s="605"/>
      <c r="HRQ204" s="605"/>
      <c r="HRR204" s="605"/>
      <c r="HRS204" s="605"/>
      <c r="HRT204" s="605"/>
      <c r="HRU204" s="605"/>
      <c r="HRV204" s="605"/>
      <c r="HRW204" s="605"/>
      <c r="HRX204" s="605"/>
      <c r="HRY204" s="605"/>
      <c r="HRZ204" s="605"/>
      <c r="HSA204" s="605"/>
      <c r="HSB204" s="605"/>
      <c r="HSC204" s="605"/>
      <c r="HSD204" s="605"/>
      <c r="HSE204" s="605"/>
      <c r="HSF204" s="605"/>
      <c r="HSG204" s="605"/>
      <c r="HSH204" s="605"/>
      <c r="HSI204" s="605"/>
      <c r="HSJ204" s="605"/>
      <c r="HSK204" s="605"/>
      <c r="HSL204" s="605"/>
      <c r="HSM204" s="605"/>
      <c r="HSN204" s="605"/>
      <c r="HSO204" s="605"/>
      <c r="HSP204" s="605"/>
      <c r="HSQ204" s="605"/>
      <c r="HSR204" s="605"/>
      <c r="HSS204" s="605"/>
      <c r="HST204" s="605"/>
      <c r="HSU204" s="605"/>
      <c r="HSV204" s="605"/>
      <c r="HSW204" s="605"/>
      <c r="HSX204" s="605"/>
      <c r="HSY204" s="605"/>
      <c r="HSZ204" s="605"/>
      <c r="HTA204" s="605"/>
      <c r="HTB204" s="605"/>
      <c r="HTC204" s="605"/>
      <c r="HTD204" s="605"/>
      <c r="HTE204" s="605"/>
      <c r="HTF204" s="605"/>
      <c r="HTG204" s="605"/>
      <c r="HTH204" s="605"/>
      <c r="HTI204" s="605"/>
      <c r="HTJ204" s="605"/>
      <c r="HTK204" s="605"/>
      <c r="HTL204" s="605"/>
      <c r="HTM204" s="605"/>
      <c r="HTN204" s="605"/>
      <c r="HTO204" s="605"/>
      <c r="HTP204" s="605"/>
      <c r="HTQ204" s="605"/>
      <c r="HTR204" s="605"/>
      <c r="HTS204" s="605"/>
      <c r="HTT204" s="605"/>
      <c r="HTU204" s="605"/>
      <c r="HTV204" s="605"/>
      <c r="HTW204" s="605"/>
      <c r="HTX204" s="605"/>
      <c r="HTY204" s="605"/>
      <c r="HTZ204" s="605"/>
      <c r="HUA204" s="605"/>
      <c r="HUB204" s="605"/>
      <c r="HUC204" s="605"/>
      <c r="HUD204" s="605"/>
      <c r="HUE204" s="605"/>
      <c r="HUF204" s="605"/>
      <c r="HUG204" s="605"/>
      <c r="HUH204" s="605"/>
      <c r="HUI204" s="605"/>
      <c r="HUJ204" s="605"/>
      <c r="HUK204" s="605"/>
      <c r="HUL204" s="605"/>
      <c r="HUM204" s="605"/>
      <c r="HUN204" s="605"/>
      <c r="HUO204" s="605"/>
      <c r="HUP204" s="605"/>
      <c r="HUQ204" s="605"/>
      <c r="HUR204" s="605"/>
      <c r="HUS204" s="605"/>
      <c r="HUT204" s="605"/>
      <c r="HUU204" s="605"/>
      <c r="HUV204" s="605"/>
      <c r="HUW204" s="605"/>
      <c r="HUX204" s="605"/>
      <c r="HUY204" s="605"/>
      <c r="HUZ204" s="605"/>
      <c r="HVA204" s="605"/>
      <c r="HVB204" s="605"/>
      <c r="HVC204" s="605"/>
      <c r="HVD204" s="605"/>
      <c r="HVE204" s="605"/>
      <c r="HVF204" s="605"/>
      <c r="HVG204" s="605"/>
      <c r="HVH204" s="605"/>
      <c r="HVI204" s="605"/>
      <c r="HVJ204" s="605"/>
      <c r="HVK204" s="605"/>
      <c r="HVL204" s="605"/>
      <c r="HVM204" s="605"/>
      <c r="HVN204" s="605"/>
      <c r="HVO204" s="605"/>
      <c r="HVP204" s="605"/>
      <c r="HVQ204" s="605"/>
      <c r="HVR204" s="605"/>
      <c r="HVS204" s="605"/>
      <c r="HVT204" s="605"/>
      <c r="HVU204" s="605"/>
      <c r="HVV204" s="605"/>
      <c r="HVW204" s="605"/>
      <c r="HVX204" s="605"/>
      <c r="HVY204" s="605"/>
      <c r="HVZ204" s="605"/>
      <c r="HWA204" s="605"/>
      <c r="HWB204" s="605"/>
      <c r="HWC204" s="605"/>
      <c r="HWD204" s="605"/>
      <c r="HWE204" s="605"/>
      <c r="HWF204" s="605"/>
      <c r="HWG204" s="605"/>
      <c r="HWH204" s="605"/>
      <c r="HWI204" s="605"/>
      <c r="HWJ204" s="605"/>
      <c r="HWK204" s="605"/>
      <c r="HWL204" s="605"/>
      <c r="HWM204" s="605"/>
      <c r="HWN204" s="605"/>
      <c r="HWO204" s="605"/>
      <c r="HWP204" s="605"/>
      <c r="HWQ204" s="605"/>
      <c r="HWR204" s="605"/>
      <c r="HWS204" s="605"/>
      <c r="HWT204" s="605"/>
      <c r="HWU204" s="605"/>
      <c r="HWV204" s="605"/>
      <c r="HWW204" s="605"/>
      <c r="HWX204" s="605"/>
      <c r="HWY204" s="605"/>
      <c r="HWZ204" s="605"/>
      <c r="HXA204" s="605"/>
      <c r="HXB204" s="605"/>
      <c r="HXC204" s="605"/>
      <c r="HXD204" s="605"/>
      <c r="HXE204" s="605"/>
      <c r="HXF204" s="605"/>
      <c r="HXG204" s="605"/>
      <c r="HXH204" s="605"/>
      <c r="HXI204" s="605"/>
      <c r="HXJ204" s="605"/>
      <c r="HXK204" s="605"/>
      <c r="HXL204" s="605"/>
      <c r="HXM204" s="605"/>
      <c r="HXN204" s="605"/>
      <c r="HXO204" s="605"/>
      <c r="HXP204" s="605"/>
      <c r="HXQ204" s="605"/>
      <c r="HXR204" s="605"/>
      <c r="HXS204" s="605"/>
      <c r="HXT204" s="605"/>
      <c r="HXU204" s="605"/>
      <c r="HXV204" s="605"/>
      <c r="HXW204" s="605"/>
      <c r="HXX204" s="605"/>
      <c r="HXY204" s="605"/>
      <c r="HXZ204" s="605"/>
      <c r="HYA204" s="605"/>
      <c r="HYB204" s="605"/>
      <c r="HYC204" s="605"/>
      <c r="HYD204" s="605"/>
      <c r="HYE204" s="605"/>
      <c r="HYF204" s="605"/>
      <c r="HYG204" s="605"/>
      <c r="HYH204" s="605"/>
      <c r="HYI204" s="605"/>
      <c r="HYJ204" s="605"/>
      <c r="HYK204" s="605"/>
      <c r="HYL204" s="605"/>
      <c r="HYM204" s="605"/>
      <c r="HYN204" s="605"/>
      <c r="HYO204" s="605"/>
      <c r="HYP204" s="605"/>
      <c r="HYQ204" s="605"/>
      <c r="HYR204" s="605"/>
      <c r="HYS204" s="605"/>
      <c r="HYT204" s="605"/>
      <c r="HYU204" s="605"/>
      <c r="HYV204" s="605"/>
      <c r="HYW204" s="605"/>
      <c r="HYX204" s="605"/>
      <c r="HYY204" s="605"/>
      <c r="HYZ204" s="605"/>
      <c r="HZA204" s="605"/>
      <c r="HZB204" s="605"/>
      <c r="HZC204" s="605"/>
      <c r="HZD204" s="605"/>
      <c r="HZE204" s="605"/>
      <c r="HZF204" s="605"/>
      <c r="HZG204" s="605"/>
      <c r="HZH204" s="605"/>
      <c r="HZI204" s="605"/>
      <c r="HZJ204" s="605"/>
      <c r="HZK204" s="605"/>
      <c r="HZL204" s="605"/>
      <c r="HZM204" s="605"/>
      <c r="HZN204" s="605"/>
      <c r="HZO204" s="605"/>
      <c r="HZP204" s="605"/>
      <c r="HZQ204" s="605"/>
      <c r="HZR204" s="605"/>
      <c r="HZS204" s="605"/>
      <c r="HZT204" s="605"/>
      <c r="HZU204" s="605"/>
      <c r="HZV204" s="605"/>
      <c r="HZW204" s="605"/>
      <c r="HZX204" s="605"/>
      <c r="HZY204" s="605"/>
      <c r="HZZ204" s="605"/>
      <c r="IAA204" s="605"/>
      <c r="IAB204" s="605"/>
      <c r="IAC204" s="605"/>
      <c r="IAD204" s="605"/>
      <c r="IAE204" s="605"/>
      <c r="IAF204" s="605"/>
      <c r="IAG204" s="605"/>
      <c r="IAH204" s="605"/>
      <c r="IAI204" s="605"/>
      <c r="IAJ204" s="605"/>
      <c r="IAK204" s="605"/>
      <c r="IAL204" s="605"/>
      <c r="IAM204" s="605"/>
      <c r="IAN204" s="605"/>
      <c r="IAO204" s="605"/>
      <c r="IAP204" s="605"/>
      <c r="IAQ204" s="605"/>
      <c r="IAR204" s="605"/>
      <c r="IAS204" s="605"/>
      <c r="IAT204" s="605"/>
      <c r="IAU204" s="605"/>
      <c r="IAV204" s="605"/>
      <c r="IAW204" s="605"/>
      <c r="IAX204" s="605"/>
      <c r="IAY204" s="605"/>
      <c r="IAZ204" s="605"/>
      <c r="IBA204" s="605"/>
      <c r="IBB204" s="605"/>
      <c r="IBC204" s="605"/>
      <c r="IBD204" s="605"/>
      <c r="IBE204" s="605"/>
      <c r="IBF204" s="605"/>
      <c r="IBG204" s="605"/>
      <c r="IBH204" s="605"/>
      <c r="IBI204" s="605"/>
      <c r="IBJ204" s="605"/>
      <c r="IBK204" s="605"/>
      <c r="IBL204" s="605"/>
      <c r="IBM204" s="605"/>
      <c r="IBN204" s="605"/>
      <c r="IBO204" s="605"/>
      <c r="IBP204" s="605"/>
      <c r="IBQ204" s="605"/>
      <c r="IBR204" s="605"/>
      <c r="IBS204" s="605"/>
      <c r="IBT204" s="605"/>
      <c r="IBU204" s="605"/>
      <c r="IBV204" s="605"/>
      <c r="IBW204" s="605"/>
      <c r="IBX204" s="605"/>
      <c r="IBY204" s="605"/>
      <c r="IBZ204" s="605"/>
      <c r="ICA204" s="605"/>
      <c r="ICB204" s="605"/>
      <c r="ICC204" s="605"/>
      <c r="ICD204" s="605"/>
      <c r="ICE204" s="605"/>
      <c r="ICF204" s="605"/>
      <c r="ICG204" s="605"/>
      <c r="ICH204" s="605"/>
      <c r="ICI204" s="605"/>
      <c r="ICJ204" s="605"/>
      <c r="ICK204" s="605"/>
      <c r="ICL204" s="605"/>
      <c r="ICM204" s="605"/>
      <c r="ICN204" s="605"/>
      <c r="ICO204" s="605"/>
      <c r="ICP204" s="605"/>
      <c r="ICQ204" s="605"/>
      <c r="ICR204" s="605"/>
      <c r="ICS204" s="605"/>
      <c r="ICT204" s="605"/>
      <c r="ICU204" s="605"/>
      <c r="ICV204" s="605"/>
      <c r="ICW204" s="605"/>
      <c r="ICX204" s="605"/>
      <c r="ICY204" s="605"/>
      <c r="ICZ204" s="605"/>
      <c r="IDA204" s="605"/>
      <c r="IDB204" s="605"/>
      <c r="IDC204" s="605"/>
      <c r="IDD204" s="605"/>
      <c r="IDE204" s="605"/>
      <c r="IDF204" s="605"/>
      <c r="IDG204" s="605"/>
      <c r="IDH204" s="605"/>
      <c r="IDI204" s="605"/>
      <c r="IDJ204" s="605"/>
      <c r="IDK204" s="605"/>
      <c r="IDL204" s="605"/>
      <c r="IDM204" s="605"/>
      <c r="IDN204" s="605"/>
      <c r="IDO204" s="605"/>
      <c r="IDP204" s="605"/>
      <c r="IDQ204" s="605"/>
      <c r="IDR204" s="605"/>
      <c r="IDS204" s="605"/>
      <c r="IDT204" s="605"/>
      <c r="IDU204" s="605"/>
      <c r="IDV204" s="605"/>
      <c r="IDW204" s="605"/>
      <c r="IDX204" s="605"/>
      <c r="IDY204" s="605"/>
      <c r="IDZ204" s="605"/>
      <c r="IEA204" s="605"/>
      <c r="IEB204" s="605"/>
      <c r="IEC204" s="605"/>
      <c r="IED204" s="605"/>
      <c r="IEE204" s="605"/>
      <c r="IEF204" s="605"/>
      <c r="IEG204" s="605"/>
      <c r="IEH204" s="605"/>
      <c r="IEI204" s="605"/>
      <c r="IEJ204" s="605"/>
      <c r="IEK204" s="605"/>
      <c r="IEL204" s="605"/>
      <c r="IEM204" s="605"/>
      <c r="IEN204" s="605"/>
      <c r="IEO204" s="605"/>
      <c r="IEP204" s="605"/>
      <c r="IEQ204" s="605"/>
      <c r="IER204" s="605"/>
      <c r="IES204" s="605"/>
      <c r="IET204" s="605"/>
      <c r="IEU204" s="605"/>
      <c r="IEV204" s="605"/>
      <c r="IEW204" s="605"/>
      <c r="IEX204" s="605"/>
      <c r="IEY204" s="605"/>
      <c r="IEZ204" s="605"/>
      <c r="IFA204" s="605"/>
      <c r="IFB204" s="605"/>
      <c r="IFC204" s="605"/>
      <c r="IFD204" s="605"/>
      <c r="IFE204" s="605"/>
      <c r="IFF204" s="605"/>
      <c r="IFG204" s="605"/>
      <c r="IFH204" s="605"/>
      <c r="IFI204" s="605"/>
      <c r="IFJ204" s="605"/>
      <c r="IFK204" s="605"/>
      <c r="IFL204" s="605"/>
      <c r="IFM204" s="605"/>
      <c r="IFN204" s="605"/>
      <c r="IFO204" s="605"/>
      <c r="IFP204" s="605"/>
      <c r="IFQ204" s="605"/>
      <c r="IFR204" s="605"/>
      <c r="IFS204" s="605"/>
      <c r="IFT204" s="605"/>
      <c r="IFU204" s="605"/>
      <c r="IFV204" s="605"/>
      <c r="IFW204" s="605"/>
      <c r="IFX204" s="605"/>
      <c r="IFY204" s="605"/>
      <c r="IFZ204" s="605"/>
      <c r="IGA204" s="605"/>
      <c r="IGB204" s="605"/>
      <c r="IGC204" s="605"/>
      <c r="IGD204" s="605"/>
      <c r="IGE204" s="605"/>
      <c r="IGF204" s="605"/>
      <c r="IGG204" s="605"/>
      <c r="IGH204" s="605"/>
      <c r="IGI204" s="605"/>
      <c r="IGJ204" s="605"/>
      <c r="IGK204" s="605"/>
      <c r="IGL204" s="605"/>
      <c r="IGM204" s="605"/>
      <c r="IGN204" s="605"/>
      <c r="IGO204" s="605"/>
      <c r="IGP204" s="605"/>
      <c r="IGQ204" s="605"/>
      <c r="IGR204" s="605"/>
      <c r="IGS204" s="605"/>
      <c r="IGT204" s="605"/>
      <c r="IGU204" s="605"/>
      <c r="IGV204" s="605"/>
      <c r="IGW204" s="605"/>
      <c r="IGX204" s="605"/>
      <c r="IGY204" s="605"/>
      <c r="IGZ204" s="605"/>
      <c r="IHA204" s="605"/>
      <c r="IHB204" s="605"/>
      <c r="IHC204" s="605"/>
      <c r="IHD204" s="605"/>
      <c r="IHE204" s="605"/>
      <c r="IHF204" s="605"/>
      <c r="IHG204" s="605"/>
      <c r="IHH204" s="605"/>
      <c r="IHI204" s="605"/>
      <c r="IHJ204" s="605"/>
      <c r="IHK204" s="605"/>
      <c r="IHL204" s="605"/>
      <c r="IHM204" s="605"/>
      <c r="IHN204" s="605"/>
      <c r="IHO204" s="605"/>
      <c r="IHP204" s="605"/>
      <c r="IHQ204" s="605"/>
      <c r="IHR204" s="605"/>
      <c r="IHS204" s="605"/>
      <c r="IHT204" s="605"/>
      <c r="IHU204" s="605"/>
      <c r="IHV204" s="605"/>
      <c r="IHW204" s="605"/>
      <c r="IHX204" s="605"/>
      <c r="IHY204" s="605"/>
      <c r="IHZ204" s="605"/>
      <c r="IIA204" s="605"/>
      <c r="IIB204" s="605"/>
      <c r="IIC204" s="605"/>
      <c r="IID204" s="605"/>
      <c r="IIE204" s="605"/>
      <c r="IIF204" s="605"/>
      <c r="IIG204" s="605"/>
      <c r="IIH204" s="605"/>
      <c r="III204" s="605"/>
      <c r="IIJ204" s="605"/>
      <c r="IIK204" s="605"/>
      <c r="IIL204" s="605"/>
      <c r="IIM204" s="605"/>
      <c r="IIN204" s="605"/>
      <c r="IIO204" s="605"/>
      <c r="IIP204" s="605"/>
      <c r="IIQ204" s="605"/>
      <c r="IIR204" s="605"/>
      <c r="IIS204" s="605"/>
      <c r="IIT204" s="605"/>
      <c r="IIU204" s="605"/>
      <c r="IIV204" s="605"/>
      <c r="IIW204" s="605"/>
      <c r="IIX204" s="605"/>
      <c r="IIY204" s="605"/>
      <c r="IIZ204" s="605"/>
      <c r="IJA204" s="605"/>
      <c r="IJB204" s="605"/>
      <c r="IJC204" s="605"/>
      <c r="IJD204" s="605"/>
      <c r="IJE204" s="605"/>
      <c r="IJF204" s="605"/>
      <c r="IJG204" s="605"/>
      <c r="IJH204" s="605"/>
      <c r="IJI204" s="605"/>
      <c r="IJJ204" s="605"/>
      <c r="IJK204" s="605"/>
      <c r="IJL204" s="605"/>
      <c r="IJM204" s="605"/>
      <c r="IJN204" s="605"/>
      <c r="IJO204" s="605"/>
      <c r="IJP204" s="605"/>
      <c r="IJQ204" s="605"/>
      <c r="IJR204" s="605"/>
      <c r="IJS204" s="605"/>
      <c r="IJT204" s="605"/>
      <c r="IJU204" s="605"/>
      <c r="IJV204" s="605"/>
      <c r="IJW204" s="605"/>
      <c r="IJX204" s="605"/>
      <c r="IJY204" s="605"/>
      <c r="IJZ204" s="605"/>
      <c r="IKA204" s="605"/>
      <c r="IKB204" s="605"/>
      <c r="IKC204" s="605"/>
      <c r="IKD204" s="605"/>
      <c r="IKE204" s="605"/>
      <c r="IKF204" s="605"/>
      <c r="IKG204" s="605"/>
      <c r="IKH204" s="605"/>
      <c r="IKI204" s="605"/>
      <c r="IKJ204" s="605"/>
      <c r="IKK204" s="605"/>
      <c r="IKL204" s="605"/>
      <c r="IKM204" s="605"/>
      <c r="IKN204" s="605"/>
      <c r="IKO204" s="605"/>
      <c r="IKP204" s="605"/>
      <c r="IKQ204" s="605"/>
      <c r="IKR204" s="605"/>
      <c r="IKS204" s="605"/>
      <c r="IKT204" s="605"/>
      <c r="IKU204" s="605"/>
      <c r="IKV204" s="605"/>
      <c r="IKW204" s="605"/>
      <c r="IKX204" s="605"/>
      <c r="IKY204" s="605"/>
      <c r="IKZ204" s="605"/>
      <c r="ILA204" s="605"/>
      <c r="ILB204" s="605"/>
      <c r="ILC204" s="605"/>
      <c r="ILD204" s="605"/>
      <c r="ILE204" s="605"/>
      <c r="ILF204" s="605"/>
      <c r="ILG204" s="605"/>
      <c r="ILH204" s="605"/>
      <c r="ILI204" s="605"/>
      <c r="ILJ204" s="605"/>
      <c r="ILK204" s="605"/>
      <c r="ILL204" s="605"/>
      <c r="ILM204" s="605"/>
      <c r="ILN204" s="605"/>
      <c r="ILO204" s="605"/>
      <c r="ILP204" s="605"/>
      <c r="ILQ204" s="605"/>
      <c r="ILR204" s="605"/>
      <c r="ILS204" s="605"/>
      <c r="ILT204" s="605"/>
      <c r="ILU204" s="605"/>
      <c r="ILV204" s="605"/>
      <c r="ILW204" s="605"/>
      <c r="ILX204" s="605"/>
      <c r="ILY204" s="605"/>
      <c r="ILZ204" s="605"/>
      <c r="IMA204" s="605"/>
      <c r="IMB204" s="605"/>
      <c r="IMC204" s="605"/>
      <c r="IMD204" s="605"/>
      <c r="IME204" s="605"/>
      <c r="IMF204" s="605"/>
      <c r="IMG204" s="605"/>
      <c r="IMH204" s="605"/>
      <c r="IMI204" s="605"/>
      <c r="IMJ204" s="605"/>
      <c r="IMK204" s="605"/>
      <c r="IML204" s="605"/>
      <c r="IMM204" s="605"/>
      <c r="IMN204" s="605"/>
      <c r="IMO204" s="605"/>
      <c r="IMP204" s="605"/>
      <c r="IMQ204" s="605"/>
      <c r="IMR204" s="605"/>
      <c r="IMS204" s="605"/>
      <c r="IMT204" s="605"/>
      <c r="IMU204" s="605"/>
      <c r="IMV204" s="605"/>
      <c r="IMW204" s="605"/>
      <c r="IMX204" s="605"/>
      <c r="IMY204" s="605"/>
      <c r="IMZ204" s="605"/>
      <c r="INA204" s="605"/>
      <c r="INB204" s="605"/>
      <c r="INC204" s="605"/>
      <c r="IND204" s="605"/>
      <c r="INE204" s="605"/>
      <c r="INF204" s="605"/>
      <c r="ING204" s="605"/>
      <c r="INH204" s="605"/>
      <c r="INI204" s="605"/>
      <c r="INJ204" s="605"/>
      <c r="INK204" s="605"/>
      <c r="INL204" s="605"/>
      <c r="INM204" s="605"/>
      <c r="INN204" s="605"/>
      <c r="INO204" s="605"/>
      <c r="INP204" s="605"/>
      <c r="INQ204" s="605"/>
      <c r="INR204" s="605"/>
      <c r="INS204" s="605"/>
      <c r="INT204" s="605"/>
      <c r="INU204" s="605"/>
      <c r="INV204" s="605"/>
      <c r="INW204" s="605"/>
      <c r="INX204" s="605"/>
      <c r="INY204" s="605"/>
      <c r="INZ204" s="605"/>
      <c r="IOA204" s="605"/>
      <c r="IOB204" s="605"/>
      <c r="IOC204" s="605"/>
      <c r="IOD204" s="605"/>
      <c r="IOE204" s="605"/>
      <c r="IOF204" s="605"/>
      <c r="IOG204" s="605"/>
      <c r="IOH204" s="605"/>
      <c r="IOI204" s="605"/>
      <c r="IOJ204" s="605"/>
      <c r="IOK204" s="605"/>
      <c r="IOL204" s="605"/>
      <c r="IOM204" s="605"/>
      <c r="ION204" s="605"/>
      <c r="IOO204" s="605"/>
      <c r="IOP204" s="605"/>
      <c r="IOQ204" s="605"/>
      <c r="IOR204" s="605"/>
      <c r="IOS204" s="605"/>
      <c r="IOT204" s="605"/>
      <c r="IOU204" s="605"/>
      <c r="IOV204" s="605"/>
      <c r="IOW204" s="605"/>
      <c r="IOX204" s="605"/>
      <c r="IOY204" s="605"/>
      <c r="IOZ204" s="605"/>
      <c r="IPA204" s="605"/>
      <c r="IPB204" s="605"/>
      <c r="IPC204" s="605"/>
      <c r="IPD204" s="605"/>
      <c r="IPE204" s="605"/>
      <c r="IPF204" s="605"/>
      <c r="IPG204" s="605"/>
      <c r="IPH204" s="605"/>
      <c r="IPI204" s="605"/>
      <c r="IPJ204" s="605"/>
      <c r="IPK204" s="605"/>
      <c r="IPL204" s="605"/>
      <c r="IPM204" s="605"/>
      <c r="IPN204" s="605"/>
      <c r="IPO204" s="605"/>
      <c r="IPP204" s="605"/>
      <c r="IPQ204" s="605"/>
      <c r="IPR204" s="605"/>
      <c r="IPS204" s="605"/>
      <c r="IPT204" s="605"/>
      <c r="IPU204" s="605"/>
      <c r="IPV204" s="605"/>
      <c r="IPW204" s="605"/>
      <c r="IPX204" s="605"/>
      <c r="IPY204" s="605"/>
      <c r="IPZ204" s="605"/>
      <c r="IQA204" s="605"/>
      <c r="IQB204" s="605"/>
      <c r="IQC204" s="605"/>
      <c r="IQD204" s="605"/>
      <c r="IQE204" s="605"/>
      <c r="IQF204" s="605"/>
      <c r="IQG204" s="605"/>
      <c r="IQH204" s="605"/>
      <c r="IQI204" s="605"/>
      <c r="IQJ204" s="605"/>
      <c r="IQK204" s="605"/>
      <c r="IQL204" s="605"/>
      <c r="IQM204" s="605"/>
      <c r="IQN204" s="605"/>
      <c r="IQO204" s="605"/>
      <c r="IQP204" s="605"/>
      <c r="IQQ204" s="605"/>
      <c r="IQR204" s="605"/>
      <c r="IQS204" s="605"/>
      <c r="IQT204" s="605"/>
      <c r="IQU204" s="605"/>
      <c r="IQV204" s="605"/>
      <c r="IQW204" s="605"/>
      <c r="IQX204" s="605"/>
      <c r="IQY204" s="605"/>
      <c r="IQZ204" s="605"/>
      <c r="IRA204" s="605"/>
      <c r="IRB204" s="605"/>
      <c r="IRC204" s="605"/>
      <c r="IRD204" s="605"/>
      <c r="IRE204" s="605"/>
      <c r="IRF204" s="605"/>
      <c r="IRG204" s="605"/>
      <c r="IRH204" s="605"/>
      <c r="IRI204" s="605"/>
      <c r="IRJ204" s="605"/>
      <c r="IRK204" s="605"/>
      <c r="IRL204" s="605"/>
      <c r="IRM204" s="605"/>
      <c r="IRN204" s="605"/>
      <c r="IRO204" s="605"/>
      <c r="IRP204" s="605"/>
      <c r="IRQ204" s="605"/>
      <c r="IRR204" s="605"/>
      <c r="IRS204" s="605"/>
      <c r="IRT204" s="605"/>
      <c r="IRU204" s="605"/>
      <c r="IRV204" s="605"/>
      <c r="IRW204" s="605"/>
      <c r="IRX204" s="605"/>
      <c r="IRY204" s="605"/>
      <c r="IRZ204" s="605"/>
      <c r="ISA204" s="605"/>
      <c r="ISB204" s="605"/>
      <c r="ISC204" s="605"/>
      <c r="ISD204" s="605"/>
      <c r="ISE204" s="605"/>
      <c r="ISF204" s="605"/>
      <c r="ISG204" s="605"/>
      <c r="ISH204" s="605"/>
      <c r="ISI204" s="605"/>
      <c r="ISJ204" s="605"/>
      <c r="ISK204" s="605"/>
      <c r="ISL204" s="605"/>
      <c r="ISM204" s="605"/>
      <c r="ISN204" s="605"/>
      <c r="ISO204" s="605"/>
      <c r="ISP204" s="605"/>
      <c r="ISQ204" s="605"/>
      <c r="ISR204" s="605"/>
      <c r="ISS204" s="605"/>
      <c r="IST204" s="605"/>
      <c r="ISU204" s="605"/>
      <c r="ISV204" s="605"/>
      <c r="ISW204" s="605"/>
      <c r="ISX204" s="605"/>
      <c r="ISY204" s="605"/>
      <c r="ISZ204" s="605"/>
      <c r="ITA204" s="605"/>
      <c r="ITB204" s="605"/>
      <c r="ITC204" s="605"/>
      <c r="ITD204" s="605"/>
      <c r="ITE204" s="605"/>
      <c r="ITF204" s="605"/>
      <c r="ITG204" s="605"/>
      <c r="ITH204" s="605"/>
      <c r="ITI204" s="605"/>
      <c r="ITJ204" s="605"/>
      <c r="ITK204" s="605"/>
      <c r="ITL204" s="605"/>
      <c r="ITM204" s="605"/>
      <c r="ITN204" s="605"/>
      <c r="ITO204" s="605"/>
      <c r="ITP204" s="605"/>
      <c r="ITQ204" s="605"/>
      <c r="ITR204" s="605"/>
      <c r="ITS204" s="605"/>
      <c r="ITT204" s="605"/>
      <c r="ITU204" s="605"/>
      <c r="ITV204" s="605"/>
      <c r="ITW204" s="605"/>
      <c r="ITX204" s="605"/>
      <c r="ITY204" s="605"/>
      <c r="ITZ204" s="605"/>
      <c r="IUA204" s="605"/>
      <c r="IUB204" s="605"/>
      <c r="IUC204" s="605"/>
      <c r="IUD204" s="605"/>
      <c r="IUE204" s="605"/>
      <c r="IUF204" s="605"/>
      <c r="IUG204" s="605"/>
      <c r="IUH204" s="605"/>
      <c r="IUI204" s="605"/>
      <c r="IUJ204" s="605"/>
      <c r="IUK204" s="605"/>
      <c r="IUL204" s="605"/>
      <c r="IUM204" s="605"/>
      <c r="IUN204" s="605"/>
      <c r="IUO204" s="605"/>
      <c r="IUP204" s="605"/>
      <c r="IUQ204" s="605"/>
      <c r="IUR204" s="605"/>
      <c r="IUS204" s="605"/>
      <c r="IUT204" s="605"/>
      <c r="IUU204" s="605"/>
      <c r="IUV204" s="605"/>
      <c r="IUW204" s="605"/>
      <c r="IUX204" s="605"/>
      <c r="IUY204" s="605"/>
      <c r="IUZ204" s="605"/>
      <c r="IVA204" s="605"/>
      <c r="IVB204" s="605"/>
      <c r="IVC204" s="605"/>
      <c r="IVD204" s="605"/>
      <c r="IVE204" s="605"/>
      <c r="IVF204" s="605"/>
      <c r="IVG204" s="605"/>
      <c r="IVH204" s="605"/>
      <c r="IVI204" s="605"/>
      <c r="IVJ204" s="605"/>
      <c r="IVK204" s="605"/>
      <c r="IVL204" s="605"/>
      <c r="IVM204" s="605"/>
      <c r="IVN204" s="605"/>
      <c r="IVO204" s="605"/>
      <c r="IVP204" s="605"/>
      <c r="IVQ204" s="605"/>
      <c r="IVR204" s="605"/>
      <c r="IVS204" s="605"/>
      <c r="IVT204" s="605"/>
      <c r="IVU204" s="605"/>
      <c r="IVV204" s="605"/>
      <c r="IVW204" s="605"/>
      <c r="IVX204" s="605"/>
      <c r="IVY204" s="605"/>
      <c r="IVZ204" s="605"/>
      <c r="IWA204" s="605"/>
      <c r="IWB204" s="605"/>
      <c r="IWC204" s="605"/>
      <c r="IWD204" s="605"/>
      <c r="IWE204" s="605"/>
      <c r="IWF204" s="605"/>
      <c r="IWG204" s="605"/>
      <c r="IWH204" s="605"/>
      <c r="IWI204" s="605"/>
      <c r="IWJ204" s="605"/>
      <c r="IWK204" s="605"/>
      <c r="IWL204" s="605"/>
      <c r="IWM204" s="605"/>
      <c r="IWN204" s="605"/>
      <c r="IWO204" s="605"/>
      <c r="IWP204" s="605"/>
      <c r="IWQ204" s="605"/>
      <c r="IWR204" s="605"/>
      <c r="IWS204" s="605"/>
      <c r="IWT204" s="605"/>
      <c r="IWU204" s="605"/>
      <c r="IWV204" s="605"/>
      <c r="IWW204" s="605"/>
      <c r="IWX204" s="605"/>
      <c r="IWY204" s="605"/>
      <c r="IWZ204" s="605"/>
      <c r="IXA204" s="605"/>
      <c r="IXB204" s="605"/>
      <c r="IXC204" s="605"/>
      <c r="IXD204" s="605"/>
      <c r="IXE204" s="605"/>
      <c r="IXF204" s="605"/>
      <c r="IXG204" s="605"/>
      <c r="IXH204" s="605"/>
      <c r="IXI204" s="605"/>
      <c r="IXJ204" s="605"/>
      <c r="IXK204" s="605"/>
      <c r="IXL204" s="605"/>
      <c r="IXM204" s="605"/>
      <c r="IXN204" s="605"/>
      <c r="IXO204" s="605"/>
      <c r="IXP204" s="605"/>
      <c r="IXQ204" s="605"/>
      <c r="IXR204" s="605"/>
      <c r="IXS204" s="605"/>
      <c r="IXT204" s="605"/>
      <c r="IXU204" s="605"/>
      <c r="IXV204" s="605"/>
      <c r="IXW204" s="605"/>
      <c r="IXX204" s="605"/>
      <c r="IXY204" s="605"/>
      <c r="IXZ204" s="605"/>
      <c r="IYA204" s="605"/>
      <c r="IYB204" s="605"/>
      <c r="IYC204" s="605"/>
      <c r="IYD204" s="605"/>
      <c r="IYE204" s="605"/>
      <c r="IYF204" s="605"/>
      <c r="IYG204" s="605"/>
      <c r="IYH204" s="605"/>
      <c r="IYI204" s="605"/>
      <c r="IYJ204" s="605"/>
      <c r="IYK204" s="605"/>
      <c r="IYL204" s="605"/>
      <c r="IYM204" s="605"/>
      <c r="IYN204" s="605"/>
      <c r="IYO204" s="605"/>
      <c r="IYP204" s="605"/>
      <c r="IYQ204" s="605"/>
      <c r="IYR204" s="605"/>
      <c r="IYS204" s="605"/>
      <c r="IYT204" s="605"/>
      <c r="IYU204" s="605"/>
      <c r="IYV204" s="605"/>
      <c r="IYW204" s="605"/>
      <c r="IYX204" s="605"/>
      <c r="IYY204" s="605"/>
      <c r="IYZ204" s="605"/>
      <c r="IZA204" s="605"/>
      <c r="IZB204" s="605"/>
      <c r="IZC204" s="605"/>
      <c r="IZD204" s="605"/>
      <c r="IZE204" s="605"/>
      <c r="IZF204" s="605"/>
      <c r="IZG204" s="605"/>
      <c r="IZH204" s="605"/>
      <c r="IZI204" s="605"/>
      <c r="IZJ204" s="605"/>
      <c r="IZK204" s="605"/>
      <c r="IZL204" s="605"/>
      <c r="IZM204" s="605"/>
      <c r="IZN204" s="605"/>
      <c r="IZO204" s="605"/>
      <c r="IZP204" s="605"/>
      <c r="IZQ204" s="605"/>
      <c r="IZR204" s="605"/>
      <c r="IZS204" s="605"/>
      <c r="IZT204" s="605"/>
      <c r="IZU204" s="605"/>
      <c r="IZV204" s="605"/>
      <c r="IZW204" s="605"/>
      <c r="IZX204" s="605"/>
      <c r="IZY204" s="605"/>
      <c r="IZZ204" s="605"/>
      <c r="JAA204" s="605"/>
      <c r="JAB204" s="605"/>
      <c r="JAC204" s="605"/>
      <c r="JAD204" s="605"/>
      <c r="JAE204" s="605"/>
      <c r="JAF204" s="605"/>
      <c r="JAG204" s="605"/>
      <c r="JAH204" s="605"/>
      <c r="JAI204" s="605"/>
      <c r="JAJ204" s="605"/>
      <c r="JAK204" s="605"/>
      <c r="JAL204" s="605"/>
      <c r="JAM204" s="605"/>
      <c r="JAN204" s="605"/>
      <c r="JAO204" s="605"/>
      <c r="JAP204" s="605"/>
      <c r="JAQ204" s="605"/>
      <c r="JAR204" s="605"/>
      <c r="JAS204" s="605"/>
      <c r="JAT204" s="605"/>
      <c r="JAU204" s="605"/>
      <c r="JAV204" s="605"/>
      <c r="JAW204" s="605"/>
      <c r="JAX204" s="605"/>
      <c r="JAY204" s="605"/>
      <c r="JAZ204" s="605"/>
      <c r="JBA204" s="605"/>
      <c r="JBB204" s="605"/>
      <c r="JBC204" s="605"/>
      <c r="JBD204" s="605"/>
      <c r="JBE204" s="605"/>
      <c r="JBF204" s="605"/>
      <c r="JBG204" s="605"/>
      <c r="JBH204" s="605"/>
      <c r="JBI204" s="605"/>
      <c r="JBJ204" s="605"/>
      <c r="JBK204" s="605"/>
      <c r="JBL204" s="605"/>
      <c r="JBM204" s="605"/>
      <c r="JBN204" s="605"/>
      <c r="JBO204" s="605"/>
      <c r="JBP204" s="605"/>
      <c r="JBQ204" s="605"/>
      <c r="JBR204" s="605"/>
      <c r="JBS204" s="605"/>
      <c r="JBT204" s="605"/>
      <c r="JBU204" s="605"/>
      <c r="JBV204" s="605"/>
      <c r="JBW204" s="605"/>
      <c r="JBX204" s="605"/>
      <c r="JBY204" s="605"/>
      <c r="JBZ204" s="605"/>
      <c r="JCA204" s="605"/>
      <c r="JCB204" s="605"/>
      <c r="JCC204" s="605"/>
      <c r="JCD204" s="605"/>
      <c r="JCE204" s="605"/>
      <c r="JCF204" s="605"/>
      <c r="JCG204" s="605"/>
      <c r="JCH204" s="605"/>
      <c r="JCI204" s="605"/>
      <c r="JCJ204" s="605"/>
      <c r="JCK204" s="605"/>
      <c r="JCL204" s="605"/>
      <c r="JCM204" s="605"/>
      <c r="JCN204" s="605"/>
      <c r="JCO204" s="605"/>
      <c r="JCP204" s="605"/>
      <c r="JCQ204" s="605"/>
      <c r="JCR204" s="605"/>
      <c r="JCS204" s="605"/>
      <c r="JCT204" s="605"/>
      <c r="JCU204" s="605"/>
      <c r="JCV204" s="605"/>
      <c r="JCW204" s="605"/>
      <c r="JCX204" s="605"/>
      <c r="JCY204" s="605"/>
      <c r="JCZ204" s="605"/>
      <c r="JDA204" s="605"/>
      <c r="JDB204" s="605"/>
      <c r="JDC204" s="605"/>
      <c r="JDD204" s="605"/>
      <c r="JDE204" s="605"/>
      <c r="JDF204" s="605"/>
      <c r="JDG204" s="605"/>
      <c r="JDH204" s="605"/>
      <c r="JDI204" s="605"/>
      <c r="JDJ204" s="605"/>
      <c r="JDK204" s="605"/>
      <c r="JDL204" s="605"/>
      <c r="JDM204" s="605"/>
      <c r="JDN204" s="605"/>
      <c r="JDO204" s="605"/>
      <c r="JDP204" s="605"/>
      <c r="JDQ204" s="605"/>
      <c r="JDR204" s="605"/>
      <c r="JDS204" s="605"/>
      <c r="JDT204" s="605"/>
      <c r="JDU204" s="605"/>
      <c r="JDV204" s="605"/>
      <c r="JDW204" s="605"/>
      <c r="JDX204" s="605"/>
      <c r="JDY204" s="605"/>
      <c r="JDZ204" s="605"/>
      <c r="JEA204" s="605"/>
      <c r="JEB204" s="605"/>
      <c r="JEC204" s="605"/>
      <c r="JED204" s="605"/>
      <c r="JEE204" s="605"/>
      <c r="JEF204" s="605"/>
      <c r="JEG204" s="605"/>
      <c r="JEH204" s="605"/>
      <c r="JEI204" s="605"/>
      <c r="JEJ204" s="605"/>
      <c r="JEK204" s="605"/>
      <c r="JEL204" s="605"/>
      <c r="JEM204" s="605"/>
      <c r="JEN204" s="605"/>
      <c r="JEO204" s="605"/>
      <c r="JEP204" s="605"/>
      <c r="JEQ204" s="605"/>
      <c r="JER204" s="605"/>
      <c r="JES204" s="605"/>
      <c r="JET204" s="605"/>
      <c r="JEU204" s="605"/>
      <c r="JEV204" s="605"/>
      <c r="JEW204" s="605"/>
      <c r="JEX204" s="605"/>
      <c r="JEY204" s="605"/>
      <c r="JEZ204" s="605"/>
      <c r="JFA204" s="605"/>
      <c r="JFB204" s="605"/>
      <c r="JFC204" s="605"/>
      <c r="JFD204" s="605"/>
      <c r="JFE204" s="605"/>
      <c r="JFF204" s="605"/>
      <c r="JFG204" s="605"/>
      <c r="JFH204" s="605"/>
      <c r="JFI204" s="605"/>
      <c r="JFJ204" s="605"/>
      <c r="JFK204" s="605"/>
      <c r="JFL204" s="605"/>
      <c r="JFM204" s="605"/>
      <c r="JFN204" s="605"/>
      <c r="JFO204" s="605"/>
      <c r="JFP204" s="605"/>
      <c r="JFQ204" s="605"/>
      <c r="JFR204" s="605"/>
      <c r="JFS204" s="605"/>
      <c r="JFT204" s="605"/>
      <c r="JFU204" s="605"/>
      <c r="JFV204" s="605"/>
      <c r="JFW204" s="605"/>
      <c r="JFX204" s="605"/>
      <c r="JFY204" s="605"/>
      <c r="JFZ204" s="605"/>
      <c r="JGA204" s="605"/>
      <c r="JGB204" s="605"/>
      <c r="JGC204" s="605"/>
      <c r="JGD204" s="605"/>
      <c r="JGE204" s="605"/>
      <c r="JGF204" s="605"/>
      <c r="JGG204" s="605"/>
      <c r="JGH204" s="605"/>
      <c r="JGI204" s="605"/>
      <c r="JGJ204" s="605"/>
      <c r="JGK204" s="605"/>
      <c r="JGL204" s="605"/>
      <c r="JGM204" s="605"/>
      <c r="JGN204" s="605"/>
      <c r="JGO204" s="605"/>
      <c r="JGP204" s="605"/>
      <c r="JGQ204" s="605"/>
      <c r="JGR204" s="605"/>
      <c r="JGS204" s="605"/>
      <c r="JGT204" s="605"/>
      <c r="JGU204" s="605"/>
      <c r="JGV204" s="605"/>
      <c r="JGW204" s="605"/>
      <c r="JGX204" s="605"/>
      <c r="JGY204" s="605"/>
      <c r="JGZ204" s="605"/>
      <c r="JHA204" s="605"/>
      <c r="JHB204" s="605"/>
      <c r="JHC204" s="605"/>
      <c r="JHD204" s="605"/>
      <c r="JHE204" s="605"/>
      <c r="JHF204" s="605"/>
      <c r="JHG204" s="605"/>
      <c r="JHH204" s="605"/>
      <c r="JHI204" s="605"/>
      <c r="JHJ204" s="605"/>
      <c r="JHK204" s="605"/>
      <c r="JHL204" s="605"/>
      <c r="JHM204" s="605"/>
      <c r="JHN204" s="605"/>
      <c r="JHO204" s="605"/>
      <c r="JHP204" s="605"/>
      <c r="JHQ204" s="605"/>
      <c r="JHR204" s="605"/>
      <c r="JHS204" s="605"/>
      <c r="JHT204" s="605"/>
      <c r="JHU204" s="605"/>
      <c r="JHV204" s="605"/>
      <c r="JHW204" s="605"/>
      <c r="JHX204" s="605"/>
      <c r="JHY204" s="605"/>
      <c r="JHZ204" s="605"/>
      <c r="JIA204" s="605"/>
      <c r="JIB204" s="605"/>
      <c r="JIC204" s="605"/>
      <c r="JID204" s="605"/>
      <c r="JIE204" s="605"/>
      <c r="JIF204" s="605"/>
      <c r="JIG204" s="605"/>
      <c r="JIH204" s="605"/>
      <c r="JII204" s="605"/>
      <c r="JIJ204" s="605"/>
      <c r="JIK204" s="605"/>
      <c r="JIL204" s="605"/>
      <c r="JIM204" s="605"/>
      <c r="JIN204" s="605"/>
      <c r="JIO204" s="605"/>
      <c r="JIP204" s="605"/>
      <c r="JIQ204" s="605"/>
      <c r="JIR204" s="605"/>
      <c r="JIS204" s="605"/>
      <c r="JIT204" s="605"/>
      <c r="JIU204" s="605"/>
      <c r="JIV204" s="605"/>
      <c r="JIW204" s="605"/>
      <c r="JIX204" s="605"/>
      <c r="JIY204" s="605"/>
      <c r="JIZ204" s="605"/>
      <c r="JJA204" s="605"/>
      <c r="JJB204" s="605"/>
      <c r="JJC204" s="605"/>
      <c r="JJD204" s="605"/>
      <c r="JJE204" s="605"/>
      <c r="JJF204" s="605"/>
      <c r="JJG204" s="605"/>
      <c r="JJH204" s="605"/>
      <c r="JJI204" s="605"/>
      <c r="JJJ204" s="605"/>
      <c r="JJK204" s="605"/>
      <c r="JJL204" s="605"/>
      <c r="JJM204" s="605"/>
      <c r="JJN204" s="605"/>
      <c r="JJO204" s="605"/>
      <c r="JJP204" s="605"/>
      <c r="JJQ204" s="605"/>
      <c r="JJR204" s="605"/>
      <c r="JJS204" s="605"/>
      <c r="JJT204" s="605"/>
      <c r="JJU204" s="605"/>
      <c r="JJV204" s="605"/>
      <c r="JJW204" s="605"/>
      <c r="JJX204" s="605"/>
      <c r="JJY204" s="605"/>
      <c r="JJZ204" s="605"/>
      <c r="JKA204" s="605"/>
      <c r="JKB204" s="605"/>
      <c r="JKC204" s="605"/>
      <c r="JKD204" s="605"/>
      <c r="JKE204" s="605"/>
      <c r="JKF204" s="605"/>
      <c r="JKG204" s="605"/>
      <c r="JKH204" s="605"/>
      <c r="JKI204" s="605"/>
      <c r="JKJ204" s="605"/>
      <c r="JKK204" s="605"/>
      <c r="JKL204" s="605"/>
      <c r="JKM204" s="605"/>
      <c r="JKN204" s="605"/>
      <c r="JKO204" s="605"/>
      <c r="JKP204" s="605"/>
      <c r="JKQ204" s="605"/>
      <c r="JKR204" s="605"/>
      <c r="JKS204" s="605"/>
      <c r="JKT204" s="605"/>
      <c r="JKU204" s="605"/>
      <c r="JKV204" s="605"/>
      <c r="JKW204" s="605"/>
      <c r="JKX204" s="605"/>
      <c r="JKY204" s="605"/>
      <c r="JKZ204" s="605"/>
      <c r="JLA204" s="605"/>
      <c r="JLB204" s="605"/>
      <c r="JLC204" s="605"/>
      <c r="JLD204" s="605"/>
      <c r="JLE204" s="605"/>
      <c r="JLF204" s="605"/>
      <c r="JLG204" s="605"/>
      <c r="JLH204" s="605"/>
      <c r="JLI204" s="605"/>
      <c r="JLJ204" s="605"/>
      <c r="JLK204" s="605"/>
      <c r="JLL204" s="605"/>
      <c r="JLM204" s="605"/>
      <c r="JLN204" s="605"/>
      <c r="JLO204" s="605"/>
      <c r="JLP204" s="605"/>
      <c r="JLQ204" s="605"/>
      <c r="JLR204" s="605"/>
      <c r="JLS204" s="605"/>
      <c r="JLT204" s="605"/>
      <c r="JLU204" s="605"/>
      <c r="JLV204" s="605"/>
      <c r="JLW204" s="605"/>
      <c r="JLX204" s="605"/>
      <c r="JLY204" s="605"/>
      <c r="JLZ204" s="605"/>
      <c r="JMA204" s="605"/>
      <c r="JMB204" s="605"/>
      <c r="JMC204" s="605"/>
      <c r="JMD204" s="605"/>
      <c r="JME204" s="605"/>
      <c r="JMF204" s="605"/>
      <c r="JMG204" s="605"/>
      <c r="JMH204" s="605"/>
      <c r="JMI204" s="605"/>
      <c r="JMJ204" s="605"/>
      <c r="JMK204" s="605"/>
      <c r="JML204" s="605"/>
      <c r="JMM204" s="605"/>
      <c r="JMN204" s="605"/>
      <c r="JMO204" s="605"/>
      <c r="JMP204" s="605"/>
      <c r="JMQ204" s="605"/>
      <c r="JMR204" s="605"/>
      <c r="JMS204" s="605"/>
      <c r="JMT204" s="605"/>
      <c r="JMU204" s="605"/>
      <c r="JMV204" s="605"/>
      <c r="JMW204" s="605"/>
      <c r="JMX204" s="605"/>
      <c r="JMY204" s="605"/>
      <c r="JMZ204" s="605"/>
      <c r="JNA204" s="605"/>
      <c r="JNB204" s="605"/>
      <c r="JNC204" s="605"/>
      <c r="JND204" s="605"/>
      <c r="JNE204" s="605"/>
      <c r="JNF204" s="605"/>
      <c r="JNG204" s="605"/>
      <c r="JNH204" s="605"/>
      <c r="JNI204" s="605"/>
      <c r="JNJ204" s="605"/>
      <c r="JNK204" s="605"/>
      <c r="JNL204" s="605"/>
      <c r="JNM204" s="605"/>
      <c r="JNN204" s="605"/>
      <c r="JNO204" s="605"/>
      <c r="JNP204" s="605"/>
      <c r="JNQ204" s="605"/>
      <c r="JNR204" s="605"/>
      <c r="JNS204" s="605"/>
      <c r="JNT204" s="605"/>
      <c r="JNU204" s="605"/>
      <c r="JNV204" s="605"/>
      <c r="JNW204" s="605"/>
      <c r="JNX204" s="605"/>
      <c r="JNY204" s="605"/>
      <c r="JNZ204" s="605"/>
      <c r="JOA204" s="605"/>
      <c r="JOB204" s="605"/>
      <c r="JOC204" s="605"/>
      <c r="JOD204" s="605"/>
      <c r="JOE204" s="605"/>
      <c r="JOF204" s="605"/>
      <c r="JOG204" s="605"/>
      <c r="JOH204" s="605"/>
      <c r="JOI204" s="605"/>
      <c r="JOJ204" s="605"/>
      <c r="JOK204" s="605"/>
      <c r="JOL204" s="605"/>
      <c r="JOM204" s="605"/>
      <c r="JON204" s="605"/>
      <c r="JOO204" s="605"/>
      <c r="JOP204" s="605"/>
      <c r="JOQ204" s="605"/>
      <c r="JOR204" s="605"/>
      <c r="JOS204" s="605"/>
      <c r="JOT204" s="605"/>
      <c r="JOU204" s="605"/>
      <c r="JOV204" s="605"/>
      <c r="JOW204" s="605"/>
      <c r="JOX204" s="605"/>
      <c r="JOY204" s="605"/>
      <c r="JOZ204" s="605"/>
      <c r="JPA204" s="605"/>
      <c r="JPB204" s="605"/>
      <c r="JPC204" s="605"/>
      <c r="JPD204" s="605"/>
      <c r="JPE204" s="605"/>
      <c r="JPF204" s="605"/>
      <c r="JPG204" s="605"/>
      <c r="JPH204" s="605"/>
      <c r="JPI204" s="605"/>
      <c r="JPJ204" s="605"/>
      <c r="JPK204" s="605"/>
      <c r="JPL204" s="605"/>
      <c r="JPM204" s="605"/>
      <c r="JPN204" s="605"/>
      <c r="JPO204" s="605"/>
      <c r="JPP204" s="605"/>
      <c r="JPQ204" s="605"/>
      <c r="JPR204" s="605"/>
      <c r="JPS204" s="605"/>
      <c r="JPT204" s="605"/>
      <c r="JPU204" s="605"/>
      <c r="JPV204" s="605"/>
      <c r="JPW204" s="605"/>
      <c r="JPX204" s="605"/>
      <c r="JPY204" s="605"/>
      <c r="JPZ204" s="605"/>
      <c r="JQA204" s="605"/>
      <c r="JQB204" s="605"/>
      <c r="JQC204" s="605"/>
      <c r="JQD204" s="605"/>
      <c r="JQE204" s="605"/>
      <c r="JQF204" s="605"/>
      <c r="JQG204" s="605"/>
      <c r="JQH204" s="605"/>
      <c r="JQI204" s="605"/>
      <c r="JQJ204" s="605"/>
      <c r="JQK204" s="605"/>
      <c r="JQL204" s="605"/>
      <c r="JQM204" s="605"/>
      <c r="JQN204" s="605"/>
      <c r="JQO204" s="605"/>
      <c r="JQP204" s="605"/>
      <c r="JQQ204" s="605"/>
      <c r="JQR204" s="605"/>
      <c r="JQS204" s="605"/>
      <c r="JQT204" s="605"/>
      <c r="JQU204" s="605"/>
      <c r="JQV204" s="605"/>
      <c r="JQW204" s="605"/>
      <c r="JQX204" s="605"/>
      <c r="JQY204" s="605"/>
      <c r="JQZ204" s="605"/>
      <c r="JRA204" s="605"/>
      <c r="JRB204" s="605"/>
      <c r="JRC204" s="605"/>
      <c r="JRD204" s="605"/>
      <c r="JRE204" s="605"/>
      <c r="JRF204" s="605"/>
      <c r="JRG204" s="605"/>
      <c r="JRH204" s="605"/>
      <c r="JRI204" s="605"/>
      <c r="JRJ204" s="605"/>
      <c r="JRK204" s="605"/>
      <c r="JRL204" s="605"/>
      <c r="JRM204" s="605"/>
      <c r="JRN204" s="605"/>
      <c r="JRO204" s="605"/>
      <c r="JRP204" s="605"/>
      <c r="JRQ204" s="605"/>
      <c r="JRR204" s="605"/>
      <c r="JRS204" s="605"/>
      <c r="JRT204" s="605"/>
      <c r="JRU204" s="605"/>
      <c r="JRV204" s="605"/>
      <c r="JRW204" s="605"/>
      <c r="JRX204" s="605"/>
      <c r="JRY204" s="605"/>
      <c r="JRZ204" s="605"/>
      <c r="JSA204" s="605"/>
      <c r="JSB204" s="605"/>
      <c r="JSC204" s="605"/>
      <c r="JSD204" s="605"/>
      <c r="JSE204" s="605"/>
      <c r="JSF204" s="605"/>
      <c r="JSG204" s="605"/>
      <c r="JSH204" s="605"/>
      <c r="JSI204" s="605"/>
      <c r="JSJ204" s="605"/>
      <c r="JSK204" s="605"/>
      <c r="JSL204" s="605"/>
      <c r="JSM204" s="605"/>
      <c r="JSN204" s="605"/>
      <c r="JSO204" s="605"/>
      <c r="JSP204" s="605"/>
      <c r="JSQ204" s="605"/>
      <c r="JSR204" s="605"/>
      <c r="JSS204" s="605"/>
      <c r="JST204" s="605"/>
      <c r="JSU204" s="605"/>
      <c r="JSV204" s="605"/>
      <c r="JSW204" s="605"/>
      <c r="JSX204" s="605"/>
      <c r="JSY204" s="605"/>
      <c r="JSZ204" s="605"/>
      <c r="JTA204" s="605"/>
      <c r="JTB204" s="605"/>
      <c r="JTC204" s="605"/>
      <c r="JTD204" s="605"/>
      <c r="JTE204" s="605"/>
      <c r="JTF204" s="605"/>
      <c r="JTG204" s="605"/>
      <c r="JTH204" s="605"/>
      <c r="JTI204" s="605"/>
      <c r="JTJ204" s="605"/>
      <c r="JTK204" s="605"/>
      <c r="JTL204" s="605"/>
      <c r="JTM204" s="605"/>
      <c r="JTN204" s="605"/>
      <c r="JTO204" s="605"/>
      <c r="JTP204" s="605"/>
      <c r="JTQ204" s="605"/>
      <c r="JTR204" s="605"/>
      <c r="JTS204" s="605"/>
      <c r="JTT204" s="605"/>
      <c r="JTU204" s="605"/>
      <c r="JTV204" s="605"/>
      <c r="JTW204" s="605"/>
      <c r="JTX204" s="605"/>
      <c r="JTY204" s="605"/>
      <c r="JTZ204" s="605"/>
      <c r="JUA204" s="605"/>
      <c r="JUB204" s="605"/>
      <c r="JUC204" s="605"/>
      <c r="JUD204" s="605"/>
      <c r="JUE204" s="605"/>
      <c r="JUF204" s="605"/>
      <c r="JUG204" s="605"/>
      <c r="JUH204" s="605"/>
      <c r="JUI204" s="605"/>
      <c r="JUJ204" s="605"/>
      <c r="JUK204" s="605"/>
      <c r="JUL204" s="605"/>
      <c r="JUM204" s="605"/>
      <c r="JUN204" s="605"/>
      <c r="JUO204" s="605"/>
      <c r="JUP204" s="605"/>
      <c r="JUQ204" s="605"/>
      <c r="JUR204" s="605"/>
      <c r="JUS204" s="605"/>
      <c r="JUT204" s="605"/>
      <c r="JUU204" s="605"/>
      <c r="JUV204" s="605"/>
      <c r="JUW204" s="605"/>
      <c r="JUX204" s="605"/>
      <c r="JUY204" s="605"/>
      <c r="JUZ204" s="605"/>
      <c r="JVA204" s="605"/>
      <c r="JVB204" s="605"/>
      <c r="JVC204" s="605"/>
      <c r="JVD204" s="605"/>
      <c r="JVE204" s="605"/>
      <c r="JVF204" s="605"/>
      <c r="JVG204" s="605"/>
      <c r="JVH204" s="605"/>
      <c r="JVI204" s="605"/>
      <c r="JVJ204" s="605"/>
      <c r="JVK204" s="605"/>
      <c r="JVL204" s="605"/>
      <c r="JVM204" s="605"/>
      <c r="JVN204" s="605"/>
      <c r="JVO204" s="605"/>
      <c r="JVP204" s="605"/>
      <c r="JVQ204" s="605"/>
      <c r="JVR204" s="605"/>
      <c r="JVS204" s="605"/>
      <c r="JVT204" s="605"/>
      <c r="JVU204" s="605"/>
      <c r="JVV204" s="605"/>
      <c r="JVW204" s="605"/>
      <c r="JVX204" s="605"/>
      <c r="JVY204" s="605"/>
      <c r="JVZ204" s="605"/>
      <c r="JWA204" s="605"/>
      <c r="JWB204" s="605"/>
      <c r="JWC204" s="605"/>
      <c r="JWD204" s="605"/>
      <c r="JWE204" s="605"/>
      <c r="JWF204" s="605"/>
      <c r="JWG204" s="605"/>
      <c r="JWH204" s="605"/>
      <c r="JWI204" s="605"/>
      <c r="JWJ204" s="605"/>
      <c r="JWK204" s="605"/>
      <c r="JWL204" s="605"/>
      <c r="JWM204" s="605"/>
      <c r="JWN204" s="605"/>
      <c r="JWO204" s="605"/>
      <c r="JWP204" s="605"/>
      <c r="JWQ204" s="605"/>
      <c r="JWR204" s="605"/>
      <c r="JWS204" s="605"/>
      <c r="JWT204" s="605"/>
      <c r="JWU204" s="605"/>
      <c r="JWV204" s="605"/>
      <c r="JWW204" s="605"/>
      <c r="JWX204" s="605"/>
      <c r="JWY204" s="605"/>
      <c r="JWZ204" s="605"/>
      <c r="JXA204" s="605"/>
      <c r="JXB204" s="605"/>
      <c r="JXC204" s="605"/>
      <c r="JXD204" s="605"/>
      <c r="JXE204" s="605"/>
      <c r="JXF204" s="605"/>
      <c r="JXG204" s="605"/>
      <c r="JXH204" s="605"/>
      <c r="JXI204" s="605"/>
      <c r="JXJ204" s="605"/>
      <c r="JXK204" s="605"/>
      <c r="JXL204" s="605"/>
      <c r="JXM204" s="605"/>
      <c r="JXN204" s="605"/>
      <c r="JXO204" s="605"/>
      <c r="JXP204" s="605"/>
      <c r="JXQ204" s="605"/>
      <c r="JXR204" s="605"/>
      <c r="JXS204" s="605"/>
      <c r="JXT204" s="605"/>
      <c r="JXU204" s="605"/>
      <c r="JXV204" s="605"/>
      <c r="JXW204" s="605"/>
      <c r="JXX204" s="605"/>
      <c r="JXY204" s="605"/>
      <c r="JXZ204" s="605"/>
      <c r="JYA204" s="605"/>
      <c r="JYB204" s="605"/>
      <c r="JYC204" s="605"/>
      <c r="JYD204" s="605"/>
      <c r="JYE204" s="605"/>
      <c r="JYF204" s="605"/>
      <c r="JYG204" s="605"/>
      <c r="JYH204" s="605"/>
      <c r="JYI204" s="605"/>
      <c r="JYJ204" s="605"/>
      <c r="JYK204" s="605"/>
      <c r="JYL204" s="605"/>
      <c r="JYM204" s="605"/>
      <c r="JYN204" s="605"/>
      <c r="JYO204" s="605"/>
      <c r="JYP204" s="605"/>
      <c r="JYQ204" s="605"/>
      <c r="JYR204" s="605"/>
      <c r="JYS204" s="605"/>
      <c r="JYT204" s="605"/>
      <c r="JYU204" s="605"/>
      <c r="JYV204" s="605"/>
      <c r="JYW204" s="605"/>
      <c r="JYX204" s="605"/>
      <c r="JYY204" s="605"/>
      <c r="JYZ204" s="605"/>
      <c r="JZA204" s="605"/>
      <c r="JZB204" s="605"/>
      <c r="JZC204" s="605"/>
      <c r="JZD204" s="605"/>
      <c r="JZE204" s="605"/>
      <c r="JZF204" s="605"/>
      <c r="JZG204" s="605"/>
      <c r="JZH204" s="605"/>
      <c r="JZI204" s="605"/>
      <c r="JZJ204" s="605"/>
      <c r="JZK204" s="605"/>
      <c r="JZL204" s="605"/>
      <c r="JZM204" s="605"/>
      <c r="JZN204" s="605"/>
      <c r="JZO204" s="605"/>
      <c r="JZP204" s="605"/>
      <c r="JZQ204" s="605"/>
      <c r="JZR204" s="605"/>
      <c r="JZS204" s="605"/>
      <c r="JZT204" s="605"/>
      <c r="JZU204" s="605"/>
      <c r="JZV204" s="605"/>
      <c r="JZW204" s="605"/>
      <c r="JZX204" s="605"/>
      <c r="JZY204" s="605"/>
      <c r="JZZ204" s="605"/>
      <c r="KAA204" s="605"/>
      <c r="KAB204" s="605"/>
      <c r="KAC204" s="605"/>
      <c r="KAD204" s="605"/>
      <c r="KAE204" s="605"/>
      <c r="KAF204" s="605"/>
      <c r="KAG204" s="605"/>
      <c r="KAH204" s="605"/>
      <c r="KAI204" s="605"/>
      <c r="KAJ204" s="605"/>
      <c r="KAK204" s="605"/>
      <c r="KAL204" s="605"/>
      <c r="KAM204" s="605"/>
      <c r="KAN204" s="605"/>
      <c r="KAO204" s="605"/>
      <c r="KAP204" s="605"/>
      <c r="KAQ204" s="605"/>
      <c r="KAR204" s="605"/>
      <c r="KAS204" s="605"/>
      <c r="KAT204" s="605"/>
      <c r="KAU204" s="605"/>
      <c r="KAV204" s="605"/>
      <c r="KAW204" s="605"/>
      <c r="KAX204" s="605"/>
      <c r="KAY204" s="605"/>
      <c r="KAZ204" s="605"/>
      <c r="KBA204" s="605"/>
      <c r="KBB204" s="605"/>
      <c r="KBC204" s="605"/>
      <c r="KBD204" s="605"/>
      <c r="KBE204" s="605"/>
      <c r="KBF204" s="605"/>
      <c r="KBG204" s="605"/>
      <c r="KBH204" s="605"/>
      <c r="KBI204" s="605"/>
      <c r="KBJ204" s="605"/>
      <c r="KBK204" s="605"/>
      <c r="KBL204" s="605"/>
      <c r="KBM204" s="605"/>
      <c r="KBN204" s="605"/>
      <c r="KBO204" s="605"/>
      <c r="KBP204" s="605"/>
      <c r="KBQ204" s="605"/>
      <c r="KBR204" s="605"/>
      <c r="KBS204" s="605"/>
      <c r="KBT204" s="605"/>
      <c r="KBU204" s="605"/>
      <c r="KBV204" s="605"/>
      <c r="KBW204" s="605"/>
      <c r="KBX204" s="605"/>
      <c r="KBY204" s="605"/>
      <c r="KBZ204" s="605"/>
      <c r="KCA204" s="605"/>
      <c r="KCB204" s="605"/>
      <c r="KCC204" s="605"/>
      <c r="KCD204" s="605"/>
      <c r="KCE204" s="605"/>
      <c r="KCF204" s="605"/>
      <c r="KCG204" s="605"/>
      <c r="KCH204" s="605"/>
      <c r="KCI204" s="605"/>
      <c r="KCJ204" s="605"/>
      <c r="KCK204" s="605"/>
      <c r="KCL204" s="605"/>
      <c r="KCM204" s="605"/>
      <c r="KCN204" s="605"/>
      <c r="KCO204" s="605"/>
      <c r="KCP204" s="605"/>
      <c r="KCQ204" s="605"/>
      <c r="KCR204" s="605"/>
      <c r="KCS204" s="605"/>
      <c r="KCT204" s="605"/>
      <c r="KCU204" s="605"/>
      <c r="KCV204" s="605"/>
      <c r="KCW204" s="605"/>
      <c r="KCX204" s="605"/>
      <c r="KCY204" s="605"/>
      <c r="KCZ204" s="605"/>
      <c r="KDA204" s="605"/>
      <c r="KDB204" s="605"/>
      <c r="KDC204" s="605"/>
      <c r="KDD204" s="605"/>
      <c r="KDE204" s="605"/>
      <c r="KDF204" s="605"/>
      <c r="KDG204" s="605"/>
      <c r="KDH204" s="605"/>
      <c r="KDI204" s="605"/>
      <c r="KDJ204" s="605"/>
      <c r="KDK204" s="605"/>
      <c r="KDL204" s="605"/>
      <c r="KDM204" s="605"/>
      <c r="KDN204" s="605"/>
      <c r="KDO204" s="605"/>
      <c r="KDP204" s="605"/>
      <c r="KDQ204" s="605"/>
      <c r="KDR204" s="605"/>
      <c r="KDS204" s="605"/>
      <c r="KDT204" s="605"/>
      <c r="KDU204" s="605"/>
      <c r="KDV204" s="605"/>
      <c r="KDW204" s="605"/>
      <c r="KDX204" s="605"/>
      <c r="KDY204" s="605"/>
      <c r="KDZ204" s="605"/>
      <c r="KEA204" s="605"/>
      <c r="KEB204" s="605"/>
      <c r="KEC204" s="605"/>
      <c r="KED204" s="605"/>
      <c r="KEE204" s="605"/>
      <c r="KEF204" s="605"/>
      <c r="KEG204" s="605"/>
      <c r="KEH204" s="605"/>
      <c r="KEI204" s="605"/>
      <c r="KEJ204" s="605"/>
      <c r="KEK204" s="605"/>
      <c r="KEL204" s="605"/>
      <c r="KEM204" s="605"/>
      <c r="KEN204" s="605"/>
      <c r="KEO204" s="605"/>
      <c r="KEP204" s="605"/>
      <c r="KEQ204" s="605"/>
      <c r="KER204" s="605"/>
      <c r="KES204" s="605"/>
      <c r="KET204" s="605"/>
      <c r="KEU204" s="605"/>
      <c r="KEV204" s="605"/>
      <c r="KEW204" s="605"/>
      <c r="KEX204" s="605"/>
      <c r="KEY204" s="605"/>
      <c r="KEZ204" s="605"/>
      <c r="KFA204" s="605"/>
      <c r="KFB204" s="605"/>
      <c r="KFC204" s="605"/>
      <c r="KFD204" s="605"/>
      <c r="KFE204" s="605"/>
      <c r="KFF204" s="605"/>
      <c r="KFG204" s="605"/>
      <c r="KFH204" s="605"/>
      <c r="KFI204" s="605"/>
      <c r="KFJ204" s="605"/>
      <c r="KFK204" s="605"/>
      <c r="KFL204" s="605"/>
      <c r="KFM204" s="605"/>
      <c r="KFN204" s="605"/>
      <c r="KFO204" s="605"/>
      <c r="KFP204" s="605"/>
      <c r="KFQ204" s="605"/>
      <c r="KFR204" s="605"/>
      <c r="KFS204" s="605"/>
      <c r="KFT204" s="605"/>
      <c r="KFU204" s="605"/>
      <c r="KFV204" s="605"/>
      <c r="KFW204" s="605"/>
      <c r="KFX204" s="605"/>
      <c r="KFY204" s="605"/>
      <c r="KFZ204" s="605"/>
      <c r="KGA204" s="605"/>
      <c r="KGB204" s="605"/>
      <c r="KGC204" s="605"/>
      <c r="KGD204" s="605"/>
      <c r="KGE204" s="605"/>
      <c r="KGF204" s="605"/>
      <c r="KGG204" s="605"/>
      <c r="KGH204" s="605"/>
      <c r="KGI204" s="605"/>
      <c r="KGJ204" s="605"/>
      <c r="KGK204" s="605"/>
      <c r="KGL204" s="605"/>
      <c r="KGM204" s="605"/>
      <c r="KGN204" s="605"/>
      <c r="KGO204" s="605"/>
      <c r="KGP204" s="605"/>
      <c r="KGQ204" s="605"/>
      <c r="KGR204" s="605"/>
      <c r="KGS204" s="605"/>
      <c r="KGT204" s="605"/>
      <c r="KGU204" s="605"/>
      <c r="KGV204" s="605"/>
      <c r="KGW204" s="605"/>
      <c r="KGX204" s="605"/>
      <c r="KGY204" s="605"/>
      <c r="KGZ204" s="605"/>
      <c r="KHA204" s="605"/>
      <c r="KHB204" s="605"/>
      <c r="KHC204" s="605"/>
      <c r="KHD204" s="605"/>
      <c r="KHE204" s="605"/>
      <c r="KHF204" s="605"/>
      <c r="KHG204" s="605"/>
      <c r="KHH204" s="605"/>
      <c r="KHI204" s="605"/>
      <c r="KHJ204" s="605"/>
      <c r="KHK204" s="605"/>
      <c r="KHL204" s="605"/>
      <c r="KHM204" s="605"/>
      <c r="KHN204" s="605"/>
      <c r="KHO204" s="605"/>
      <c r="KHP204" s="605"/>
      <c r="KHQ204" s="605"/>
      <c r="KHR204" s="605"/>
      <c r="KHS204" s="605"/>
      <c r="KHT204" s="605"/>
      <c r="KHU204" s="605"/>
      <c r="KHV204" s="605"/>
      <c r="KHW204" s="605"/>
      <c r="KHX204" s="605"/>
      <c r="KHY204" s="605"/>
      <c r="KHZ204" s="605"/>
      <c r="KIA204" s="605"/>
      <c r="KIB204" s="605"/>
      <c r="KIC204" s="605"/>
      <c r="KID204" s="605"/>
      <c r="KIE204" s="605"/>
      <c r="KIF204" s="605"/>
      <c r="KIG204" s="605"/>
      <c r="KIH204" s="605"/>
      <c r="KII204" s="605"/>
      <c r="KIJ204" s="605"/>
      <c r="KIK204" s="605"/>
      <c r="KIL204" s="605"/>
      <c r="KIM204" s="605"/>
      <c r="KIN204" s="605"/>
      <c r="KIO204" s="605"/>
      <c r="KIP204" s="605"/>
      <c r="KIQ204" s="605"/>
      <c r="KIR204" s="605"/>
      <c r="KIS204" s="605"/>
      <c r="KIT204" s="605"/>
      <c r="KIU204" s="605"/>
      <c r="KIV204" s="605"/>
      <c r="KIW204" s="605"/>
      <c r="KIX204" s="605"/>
      <c r="KIY204" s="605"/>
      <c r="KIZ204" s="605"/>
      <c r="KJA204" s="605"/>
      <c r="KJB204" s="605"/>
      <c r="KJC204" s="605"/>
      <c r="KJD204" s="605"/>
      <c r="KJE204" s="605"/>
      <c r="KJF204" s="605"/>
      <c r="KJG204" s="605"/>
      <c r="KJH204" s="605"/>
      <c r="KJI204" s="605"/>
      <c r="KJJ204" s="605"/>
      <c r="KJK204" s="605"/>
      <c r="KJL204" s="605"/>
      <c r="KJM204" s="605"/>
      <c r="KJN204" s="605"/>
      <c r="KJO204" s="605"/>
      <c r="KJP204" s="605"/>
      <c r="KJQ204" s="605"/>
      <c r="KJR204" s="605"/>
      <c r="KJS204" s="605"/>
      <c r="KJT204" s="605"/>
      <c r="KJU204" s="605"/>
      <c r="KJV204" s="605"/>
      <c r="KJW204" s="605"/>
      <c r="KJX204" s="605"/>
      <c r="KJY204" s="605"/>
      <c r="KJZ204" s="605"/>
      <c r="KKA204" s="605"/>
      <c r="KKB204" s="605"/>
      <c r="KKC204" s="605"/>
      <c r="KKD204" s="605"/>
      <c r="KKE204" s="605"/>
      <c r="KKF204" s="605"/>
      <c r="KKG204" s="605"/>
      <c r="KKH204" s="605"/>
      <c r="KKI204" s="605"/>
      <c r="KKJ204" s="605"/>
      <c r="KKK204" s="605"/>
      <c r="KKL204" s="605"/>
      <c r="KKM204" s="605"/>
      <c r="KKN204" s="605"/>
      <c r="KKO204" s="605"/>
      <c r="KKP204" s="605"/>
      <c r="KKQ204" s="605"/>
      <c r="KKR204" s="605"/>
      <c r="KKS204" s="605"/>
      <c r="KKT204" s="605"/>
      <c r="KKU204" s="605"/>
      <c r="KKV204" s="605"/>
      <c r="KKW204" s="605"/>
      <c r="KKX204" s="605"/>
      <c r="KKY204" s="605"/>
      <c r="KKZ204" s="605"/>
      <c r="KLA204" s="605"/>
      <c r="KLB204" s="605"/>
      <c r="KLC204" s="605"/>
      <c r="KLD204" s="605"/>
      <c r="KLE204" s="605"/>
      <c r="KLF204" s="605"/>
      <c r="KLG204" s="605"/>
      <c r="KLH204" s="605"/>
      <c r="KLI204" s="605"/>
      <c r="KLJ204" s="605"/>
      <c r="KLK204" s="605"/>
      <c r="KLL204" s="605"/>
      <c r="KLM204" s="605"/>
      <c r="KLN204" s="605"/>
      <c r="KLO204" s="605"/>
      <c r="KLP204" s="605"/>
      <c r="KLQ204" s="605"/>
      <c r="KLR204" s="605"/>
      <c r="KLS204" s="605"/>
      <c r="KLT204" s="605"/>
      <c r="KLU204" s="605"/>
      <c r="KLV204" s="605"/>
      <c r="KLW204" s="605"/>
      <c r="KLX204" s="605"/>
      <c r="KLY204" s="605"/>
      <c r="KLZ204" s="605"/>
      <c r="KMA204" s="605"/>
      <c r="KMB204" s="605"/>
      <c r="KMC204" s="605"/>
      <c r="KMD204" s="605"/>
      <c r="KME204" s="605"/>
      <c r="KMF204" s="605"/>
      <c r="KMG204" s="605"/>
      <c r="KMH204" s="605"/>
      <c r="KMI204" s="605"/>
      <c r="KMJ204" s="605"/>
      <c r="KMK204" s="605"/>
      <c r="KML204" s="605"/>
      <c r="KMM204" s="605"/>
      <c r="KMN204" s="605"/>
      <c r="KMO204" s="605"/>
      <c r="KMP204" s="605"/>
      <c r="KMQ204" s="605"/>
      <c r="KMR204" s="605"/>
      <c r="KMS204" s="605"/>
      <c r="KMT204" s="605"/>
      <c r="KMU204" s="605"/>
      <c r="KMV204" s="605"/>
      <c r="KMW204" s="605"/>
      <c r="KMX204" s="605"/>
      <c r="KMY204" s="605"/>
      <c r="KMZ204" s="605"/>
      <c r="KNA204" s="605"/>
      <c r="KNB204" s="605"/>
      <c r="KNC204" s="605"/>
      <c r="KND204" s="605"/>
      <c r="KNE204" s="605"/>
      <c r="KNF204" s="605"/>
      <c r="KNG204" s="605"/>
      <c r="KNH204" s="605"/>
      <c r="KNI204" s="605"/>
      <c r="KNJ204" s="605"/>
      <c r="KNK204" s="605"/>
      <c r="KNL204" s="605"/>
      <c r="KNM204" s="605"/>
      <c r="KNN204" s="605"/>
      <c r="KNO204" s="605"/>
      <c r="KNP204" s="605"/>
      <c r="KNQ204" s="605"/>
      <c r="KNR204" s="605"/>
      <c r="KNS204" s="605"/>
      <c r="KNT204" s="605"/>
      <c r="KNU204" s="605"/>
      <c r="KNV204" s="605"/>
      <c r="KNW204" s="605"/>
      <c r="KNX204" s="605"/>
      <c r="KNY204" s="605"/>
      <c r="KNZ204" s="605"/>
      <c r="KOA204" s="605"/>
      <c r="KOB204" s="605"/>
      <c r="KOC204" s="605"/>
      <c r="KOD204" s="605"/>
      <c r="KOE204" s="605"/>
      <c r="KOF204" s="605"/>
      <c r="KOG204" s="605"/>
      <c r="KOH204" s="605"/>
      <c r="KOI204" s="605"/>
      <c r="KOJ204" s="605"/>
      <c r="KOK204" s="605"/>
      <c r="KOL204" s="605"/>
      <c r="KOM204" s="605"/>
      <c r="KON204" s="605"/>
      <c r="KOO204" s="605"/>
      <c r="KOP204" s="605"/>
      <c r="KOQ204" s="605"/>
      <c r="KOR204" s="605"/>
      <c r="KOS204" s="605"/>
      <c r="KOT204" s="605"/>
      <c r="KOU204" s="605"/>
      <c r="KOV204" s="605"/>
      <c r="KOW204" s="605"/>
      <c r="KOX204" s="605"/>
      <c r="KOY204" s="605"/>
      <c r="KOZ204" s="605"/>
      <c r="KPA204" s="605"/>
      <c r="KPB204" s="605"/>
      <c r="KPC204" s="605"/>
      <c r="KPD204" s="605"/>
      <c r="KPE204" s="605"/>
      <c r="KPF204" s="605"/>
      <c r="KPG204" s="605"/>
      <c r="KPH204" s="605"/>
      <c r="KPI204" s="605"/>
      <c r="KPJ204" s="605"/>
      <c r="KPK204" s="605"/>
      <c r="KPL204" s="605"/>
      <c r="KPM204" s="605"/>
      <c r="KPN204" s="605"/>
      <c r="KPO204" s="605"/>
      <c r="KPP204" s="605"/>
      <c r="KPQ204" s="605"/>
      <c r="KPR204" s="605"/>
      <c r="KPS204" s="605"/>
      <c r="KPT204" s="605"/>
      <c r="KPU204" s="605"/>
      <c r="KPV204" s="605"/>
      <c r="KPW204" s="605"/>
      <c r="KPX204" s="605"/>
      <c r="KPY204" s="605"/>
      <c r="KPZ204" s="605"/>
      <c r="KQA204" s="605"/>
      <c r="KQB204" s="605"/>
      <c r="KQC204" s="605"/>
      <c r="KQD204" s="605"/>
      <c r="KQE204" s="605"/>
      <c r="KQF204" s="605"/>
      <c r="KQG204" s="605"/>
      <c r="KQH204" s="605"/>
      <c r="KQI204" s="605"/>
      <c r="KQJ204" s="605"/>
      <c r="KQK204" s="605"/>
      <c r="KQL204" s="605"/>
      <c r="KQM204" s="605"/>
      <c r="KQN204" s="605"/>
      <c r="KQO204" s="605"/>
      <c r="KQP204" s="605"/>
      <c r="KQQ204" s="605"/>
      <c r="KQR204" s="605"/>
      <c r="KQS204" s="605"/>
      <c r="KQT204" s="605"/>
      <c r="KQU204" s="605"/>
      <c r="KQV204" s="605"/>
      <c r="KQW204" s="605"/>
      <c r="KQX204" s="605"/>
      <c r="KQY204" s="605"/>
      <c r="KQZ204" s="605"/>
      <c r="KRA204" s="605"/>
      <c r="KRB204" s="605"/>
      <c r="KRC204" s="605"/>
      <c r="KRD204" s="605"/>
      <c r="KRE204" s="605"/>
      <c r="KRF204" s="605"/>
      <c r="KRG204" s="605"/>
      <c r="KRH204" s="605"/>
      <c r="KRI204" s="605"/>
      <c r="KRJ204" s="605"/>
      <c r="KRK204" s="605"/>
      <c r="KRL204" s="605"/>
      <c r="KRM204" s="605"/>
      <c r="KRN204" s="605"/>
      <c r="KRO204" s="605"/>
      <c r="KRP204" s="605"/>
      <c r="KRQ204" s="605"/>
      <c r="KRR204" s="605"/>
      <c r="KRS204" s="605"/>
      <c r="KRT204" s="605"/>
      <c r="KRU204" s="605"/>
      <c r="KRV204" s="605"/>
      <c r="KRW204" s="605"/>
      <c r="KRX204" s="605"/>
      <c r="KRY204" s="605"/>
      <c r="KRZ204" s="605"/>
      <c r="KSA204" s="605"/>
      <c r="KSB204" s="605"/>
      <c r="KSC204" s="605"/>
      <c r="KSD204" s="605"/>
      <c r="KSE204" s="605"/>
      <c r="KSF204" s="605"/>
      <c r="KSG204" s="605"/>
      <c r="KSH204" s="605"/>
      <c r="KSI204" s="605"/>
      <c r="KSJ204" s="605"/>
      <c r="KSK204" s="605"/>
      <c r="KSL204" s="605"/>
      <c r="KSM204" s="605"/>
      <c r="KSN204" s="605"/>
      <c r="KSO204" s="605"/>
      <c r="KSP204" s="605"/>
      <c r="KSQ204" s="605"/>
      <c r="KSR204" s="605"/>
      <c r="KSS204" s="605"/>
      <c r="KST204" s="605"/>
      <c r="KSU204" s="605"/>
      <c r="KSV204" s="605"/>
      <c r="KSW204" s="605"/>
      <c r="KSX204" s="605"/>
      <c r="KSY204" s="605"/>
      <c r="KSZ204" s="605"/>
      <c r="KTA204" s="605"/>
      <c r="KTB204" s="605"/>
      <c r="KTC204" s="605"/>
      <c r="KTD204" s="605"/>
      <c r="KTE204" s="605"/>
      <c r="KTF204" s="605"/>
      <c r="KTG204" s="605"/>
      <c r="KTH204" s="605"/>
      <c r="KTI204" s="605"/>
      <c r="KTJ204" s="605"/>
      <c r="KTK204" s="605"/>
      <c r="KTL204" s="605"/>
      <c r="KTM204" s="605"/>
      <c r="KTN204" s="605"/>
      <c r="KTO204" s="605"/>
      <c r="KTP204" s="605"/>
      <c r="KTQ204" s="605"/>
      <c r="KTR204" s="605"/>
      <c r="KTS204" s="605"/>
      <c r="KTT204" s="605"/>
      <c r="KTU204" s="605"/>
      <c r="KTV204" s="605"/>
      <c r="KTW204" s="605"/>
      <c r="KTX204" s="605"/>
      <c r="KTY204" s="605"/>
      <c r="KTZ204" s="605"/>
      <c r="KUA204" s="605"/>
      <c r="KUB204" s="605"/>
      <c r="KUC204" s="605"/>
      <c r="KUD204" s="605"/>
      <c r="KUE204" s="605"/>
      <c r="KUF204" s="605"/>
      <c r="KUG204" s="605"/>
      <c r="KUH204" s="605"/>
      <c r="KUI204" s="605"/>
      <c r="KUJ204" s="605"/>
      <c r="KUK204" s="605"/>
      <c r="KUL204" s="605"/>
      <c r="KUM204" s="605"/>
      <c r="KUN204" s="605"/>
      <c r="KUO204" s="605"/>
      <c r="KUP204" s="605"/>
      <c r="KUQ204" s="605"/>
      <c r="KUR204" s="605"/>
      <c r="KUS204" s="605"/>
      <c r="KUT204" s="605"/>
      <c r="KUU204" s="605"/>
      <c r="KUV204" s="605"/>
      <c r="KUW204" s="605"/>
      <c r="KUX204" s="605"/>
      <c r="KUY204" s="605"/>
      <c r="KUZ204" s="605"/>
      <c r="KVA204" s="605"/>
      <c r="KVB204" s="605"/>
      <c r="KVC204" s="605"/>
      <c r="KVD204" s="605"/>
      <c r="KVE204" s="605"/>
      <c r="KVF204" s="605"/>
      <c r="KVG204" s="605"/>
      <c r="KVH204" s="605"/>
      <c r="KVI204" s="605"/>
      <c r="KVJ204" s="605"/>
      <c r="KVK204" s="605"/>
      <c r="KVL204" s="605"/>
      <c r="KVM204" s="605"/>
      <c r="KVN204" s="605"/>
      <c r="KVO204" s="605"/>
      <c r="KVP204" s="605"/>
      <c r="KVQ204" s="605"/>
      <c r="KVR204" s="605"/>
      <c r="KVS204" s="605"/>
      <c r="KVT204" s="605"/>
      <c r="KVU204" s="605"/>
      <c r="KVV204" s="605"/>
      <c r="KVW204" s="605"/>
      <c r="KVX204" s="605"/>
      <c r="KVY204" s="605"/>
      <c r="KVZ204" s="605"/>
      <c r="KWA204" s="605"/>
      <c r="KWB204" s="605"/>
      <c r="KWC204" s="605"/>
      <c r="KWD204" s="605"/>
      <c r="KWE204" s="605"/>
      <c r="KWF204" s="605"/>
      <c r="KWG204" s="605"/>
      <c r="KWH204" s="605"/>
      <c r="KWI204" s="605"/>
      <c r="KWJ204" s="605"/>
      <c r="KWK204" s="605"/>
      <c r="KWL204" s="605"/>
      <c r="KWM204" s="605"/>
      <c r="KWN204" s="605"/>
      <c r="KWO204" s="605"/>
      <c r="KWP204" s="605"/>
      <c r="KWQ204" s="605"/>
      <c r="KWR204" s="605"/>
      <c r="KWS204" s="605"/>
      <c r="KWT204" s="605"/>
      <c r="KWU204" s="605"/>
      <c r="KWV204" s="605"/>
      <c r="KWW204" s="605"/>
      <c r="KWX204" s="605"/>
      <c r="KWY204" s="605"/>
      <c r="KWZ204" s="605"/>
      <c r="KXA204" s="605"/>
      <c r="KXB204" s="605"/>
      <c r="KXC204" s="605"/>
      <c r="KXD204" s="605"/>
      <c r="KXE204" s="605"/>
      <c r="KXF204" s="605"/>
      <c r="KXG204" s="605"/>
      <c r="KXH204" s="605"/>
      <c r="KXI204" s="605"/>
      <c r="KXJ204" s="605"/>
      <c r="KXK204" s="605"/>
      <c r="KXL204" s="605"/>
      <c r="KXM204" s="605"/>
      <c r="KXN204" s="605"/>
      <c r="KXO204" s="605"/>
      <c r="KXP204" s="605"/>
      <c r="KXQ204" s="605"/>
      <c r="KXR204" s="605"/>
      <c r="KXS204" s="605"/>
      <c r="KXT204" s="605"/>
      <c r="KXU204" s="605"/>
      <c r="KXV204" s="605"/>
      <c r="KXW204" s="605"/>
      <c r="KXX204" s="605"/>
      <c r="KXY204" s="605"/>
      <c r="KXZ204" s="605"/>
      <c r="KYA204" s="605"/>
      <c r="KYB204" s="605"/>
      <c r="KYC204" s="605"/>
      <c r="KYD204" s="605"/>
      <c r="KYE204" s="605"/>
      <c r="KYF204" s="605"/>
      <c r="KYG204" s="605"/>
      <c r="KYH204" s="605"/>
      <c r="KYI204" s="605"/>
      <c r="KYJ204" s="605"/>
      <c r="KYK204" s="605"/>
      <c r="KYL204" s="605"/>
      <c r="KYM204" s="605"/>
      <c r="KYN204" s="605"/>
      <c r="KYO204" s="605"/>
      <c r="KYP204" s="605"/>
      <c r="KYQ204" s="605"/>
      <c r="KYR204" s="605"/>
      <c r="KYS204" s="605"/>
      <c r="KYT204" s="605"/>
      <c r="KYU204" s="605"/>
      <c r="KYV204" s="605"/>
      <c r="KYW204" s="605"/>
      <c r="KYX204" s="605"/>
      <c r="KYY204" s="605"/>
      <c r="KYZ204" s="605"/>
      <c r="KZA204" s="605"/>
      <c r="KZB204" s="605"/>
      <c r="KZC204" s="605"/>
      <c r="KZD204" s="605"/>
      <c r="KZE204" s="605"/>
      <c r="KZF204" s="605"/>
      <c r="KZG204" s="605"/>
      <c r="KZH204" s="605"/>
      <c r="KZI204" s="605"/>
      <c r="KZJ204" s="605"/>
      <c r="KZK204" s="605"/>
      <c r="KZL204" s="605"/>
      <c r="KZM204" s="605"/>
      <c r="KZN204" s="605"/>
      <c r="KZO204" s="605"/>
      <c r="KZP204" s="605"/>
      <c r="KZQ204" s="605"/>
      <c r="KZR204" s="605"/>
      <c r="KZS204" s="605"/>
      <c r="KZT204" s="605"/>
      <c r="KZU204" s="605"/>
      <c r="KZV204" s="605"/>
      <c r="KZW204" s="605"/>
      <c r="KZX204" s="605"/>
      <c r="KZY204" s="605"/>
      <c r="KZZ204" s="605"/>
      <c r="LAA204" s="605"/>
      <c r="LAB204" s="605"/>
      <c r="LAC204" s="605"/>
      <c r="LAD204" s="605"/>
      <c r="LAE204" s="605"/>
      <c r="LAF204" s="605"/>
      <c r="LAG204" s="605"/>
      <c r="LAH204" s="605"/>
      <c r="LAI204" s="605"/>
      <c r="LAJ204" s="605"/>
      <c r="LAK204" s="605"/>
      <c r="LAL204" s="605"/>
      <c r="LAM204" s="605"/>
      <c r="LAN204" s="605"/>
      <c r="LAO204" s="605"/>
      <c r="LAP204" s="605"/>
      <c r="LAQ204" s="605"/>
      <c r="LAR204" s="605"/>
      <c r="LAS204" s="605"/>
      <c r="LAT204" s="605"/>
      <c r="LAU204" s="605"/>
      <c r="LAV204" s="605"/>
      <c r="LAW204" s="605"/>
      <c r="LAX204" s="605"/>
      <c r="LAY204" s="605"/>
      <c r="LAZ204" s="605"/>
      <c r="LBA204" s="605"/>
      <c r="LBB204" s="605"/>
      <c r="LBC204" s="605"/>
      <c r="LBD204" s="605"/>
      <c r="LBE204" s="605"/>
      <c r="LBF204" s="605"/>
      <c r="LBG204" s="605"/>
      <c r="LBH204" s="605"/>
      <c r="LBI204" s="605"/>
      <c r="LBJ204" s="605"/>
      <c r="LBK204" s="605"/>
      <c r="LBL204" s="605"/>
      <c r="LBM204" s="605"/>
      <c r="LBN204" s="605"/>
      <c r="LBO204" s="605"/>
      <c r="LBP204" s="605"/>
      <c r="LBQ204" s="605"/>
      <c r="LBR204" s="605"/>
      <c r="LBS204" s="605"/>
      <c r="LBT204" s="605"/>
      <c r="LBU204" s="605"/>
      <c r="LBV204" s="605"/>
      <c r="LBW204" s="605"/>
      <c r="LBX204" s="605"/>
      <c r="LBY204" s="605"/>
      <c r="LBZ204" s="605"/>
      <c r="LCA204" s="605"/>
      <c r="LCB204" s="605"/>
      <c r="LCC204" s="605"/>
      <c r="LCD204" s="605"/>
      <c r="LCE204" s="605"/>
      <c r="LCF204" s="605"/>
      <c r="LCG204" s="605"/>
      <c r="LCH204" s="605"/>
      <c r="LCI204" s="605"/>
      <c r="LCJ204" s="605"/>
      <c r="LCK204" s="605"/>
      <c r="LCL204" s="605"/>
      <c r="LCM204" s="605"/>
      <c r="LCN204" s="605"/>
      <c r="LCO204" s="605"/>
      <c r="LCP204" s="605"/>
      <c r="LCQ204" s="605"/>
      <c r="LCR204" s="605"/>
      <c r="LCS204" s="605"/>
      <c r="LCT204" s="605"/>
      <c r="LCU204" s="605"/>
      <c r="LCV204" s="605"/>
      <c r="LCW204" s="605"/>
      <c r="LCX204" s="605"/>
      <c r="LCY204" s="605"/>
      <c r="LCZ204" s="605"/>
      <c r="LDA204" s="605"/>
      <c r="LDB204" s="605"/>
      <c r="LDC204" s="605"/>
      <c r="LDD204" s="605"/>
      <c r="LDE204" s="605"/>
      <c r="LDF204" s="605"/>
      <c r="LDG204" s="605"/>
      <c r="LDH204" s="605"/>
      <c r="LDI204" s="605"/>
      <c r="LDJ204" s="605"/>
      <c r="LDK204" s="605"/>
      <c r="LDL204" s="605"/>
      <c r="LDM204" s="605"/>
      <c r="LDN204" s="605"/>
      <c r="LDO204" s="605"/>
      <c r="LDP204" s="605"/>
      <c r="LDQ204" s="605"/>
      <c r="LDR204" s="605"/>
      <c r="LDS204" s="605"/>
      <c r="LDT204" s="605"/>
      <c r="LDU204" s="605"/>
      <c r="LDV204" s="605"/>
      <c r="LDW204" s="605"/>
      <c r="LDX204" s="605"/>
      <c r="LDY204" s="605"/>
      <c r="LDZ204" s="605"/>
      <c r="LEA204" s="605"/>
      <c r="LEB204" s="605"/>
      <c r="LEC204" s="605"/>
      <c r="LED204" s="605"/>
      <c r="LEE204" s="605"/>
      <c r="LEF204" s="605"/>
      <c r="LEG204" s="605"/>
      <c r="LEH204" s="605"/>
      <c r="LEI204" s="605"/>
      <c r="LEJ204" s="605"/>
      <c r="LEK204" s="605"/>
      <c r="LEL204" s="605"/>
      <c r="LEM204" s="605"/>
      <c r="LEN204" s="605"/>
      <c r="LEO204" s="605"/>
      <c r="LEP204" s="605"/>
      <c r="LEQ204" s="605"/>
      <c r="LER204" s="605"/>
      <c r="LES204" s="605"/>
      <c r="LET204" s="605"/>
      <c r="LEU204" s="605"/>
      <c r="LEV204" s="605"/>
      <c r="LEW204" s="605"/>
      <c r="LEX204" s="605"/>
      <c r="LEY204" s="605"/>
      <c r="LEZ204" s="605"/>
      <c r="LFA204" s="605"/>
      <c r="LFB204" s="605"/>
      <c r="LFC204" s="605"/>
      <c r="LFD204" s="605"/>
      <c r="LFE204" s="605"/>
      <c r="LFF204" s="605"/>
      <c r="LFG204" s="605"/>
      <c r="LFH204" s="605"/>
      <c r="LFI204" s="605"/>
      <c r="LFJ204" s="605"/>
      <c r="LFK204" s="605"/>
      <c r="LFL204" s="605"/>
      <c r="LFM204" s="605"/>
      <c r="LFN204" s="605"/>
      <c r="LFO204" s="605"/>
      <c r="LFP204" s="605"/>
      <c r="LFQ204" s="605"/>
      <c r="LFR204" s="605"/>
      <c r="LFS204" s="605"/>
      <c r="LFT204" s="605"/>
      <c r="LFU204" s="605"/>
      <c r="LFV204" s="605"/>
      <c r="LFW204" s="605"/>
      <c r="LFX204" s="605"/>
      <c r="LFY204" s="605"/>
      <c r="LFZ204" s="605"/>
      <c r="LGA204" s="605"/>
      <c r="LGB204" s="605"/>
      <c r="LGC204" s="605"/>
      <c r="LGD204" s="605"/>
      <c r="LGE204" s="605"/>
      <c r="LGF204" s="605"/>
      <c r="LGG204" s="605"/>
      <c r="LGH204" s="605"/>
      <c r="LGI204" s="605"/>
      <c r="LGJ204" s="605"/>
      <c r="LGK204" s="605"/>
      <c r="LGL204" s="605"/>
      <c r="LGM204" s="605"/>
      <c r="LGN204" s="605"/>
      <c r="LGO204" s="605"/>
      <c r="LGP204" s="605"/>
      <c r="LGQ204" s="605"/>
      <c r="LGR204" s="605"/>
      <c r="LGS204" s="605"/>
      <c r="LGT204" s="605"/>
      <c r="LGU204" s="605"/>
      <c r="LGV204" s="605"/>
      <c r="LGW204" s="605"/>
      <c r="LGX204" s="605"/>
      <c r="LGY204" s="605"/>
      <c r="LGZ204" s="605"/>
      <c r="LHA204" s="605"/>
      <c r="LHB204" s="605"/>
      <c r="LHC204" s="605"/>
      <c r="LHD204" s="605"/>
      <c r="LHE204" s="605"/>
      <c r="LHF204" s="605"/>
      <c r="LHG204" s="605"/>
      <c r="LHH204" s="605"/>
      <c r="LHI204" s="605"/>
      <c r="LHJ204" s="605"/>
      <c r="LHK204" s="605"/>
      <c r="LHL204" s="605"/>
      <c r="LHM204" s="605"/>
      <c r="LHN204" s="605"/>
      <c r="LHO204" s="605"/>
      <c r="LHP204" s="605"/>
      <c r="LHQ204" s="605"/>
      <c r="LHR204" s="605"/>
      <c r="LHS204" s="605"/>
      <c r="LHT204" s="605"/>
      <c r="LHU204" s="605"/>
      <c r="LHV204" s="605"/>
      <c r="LHW204" s="605"/>
      <c r="LHX204" s="605"/>
      <c r="LHY204" s="605"/>
      <c r="LHZ204" s="605"/>
      <c r="LIA204" s="605"/>
      <c r="LIB204" s="605"/>
      <c r="LIC204" s="605"/>
      <c r="LID204" s="605"/>
      <c r="LIE204" s="605"/>
      <c r="LIF204" s="605"/>
      <c r="LIG204" s="605"/>
      <c r="LIH204" s="605"/>
      <c r="LII204" s="605"/>
      <c r="LIJ204" s="605"/>
      <c r="LIK204" s="605"/>
      <c r="LIL204" s="605"/>
      <c r="LIM204" s="605"/>
      <c r="LIN204" s="605"/>
      <c r="LIO204" s="605"/>
      <c r="LIP204" s="605"/>
      <c r="LIQ204" s="605"/>
      <c r="LIR204" s="605"/>
      <c r="LIS204" s="605"/>
      <c r="LIT204" s="605"/>
      <c r="LIU204" s="605"/>
      <c r="LIV204" s="605"/>
      <c r="LIW204" s="605"/>
      <c r="LIX204" s="605"/>
      <c r="LIY204" s="605"/>
      <c r="LIZ204" s="605"/>
      <c r="LJA204" s="605"/>
      <c r="LJB204" s="605"/>
      <c r="LJC204" s="605"/>
      <c r="LJD204" s="605"/>
      <c r="LJE204" s="605"/>
      <c r="LJF204" s="605"/>
      <c r="LJG204" s="605"/>
      <c r="LJH204" s="605"/>
      <c r="LJI204" s="605"/>
      <c r="LJJ204" s="605"/>
      <c r="LJK204" s="605"/>
      <c r="LJL204" s="605"/>
      <c r="LJM204" s="605"/>
      <c r="LJN204" s="605"/>
      <c r="LJO204" s="605"/>
      <c r="LJP204" s="605"/>
      <c r="LJQ204" s="605"/>
      <c r="LJR204" s="605"/>
      <c r="LJS204" s="605"/>
      <c r="LJT204" s="605"/>
      <c r="LJU204" s="605"/>
      <c r="LJV204" s="605"/>
      <c r="LJW204" s="605"/>
      <c r="LJX204" s="605"/>
      <c r="LJY204" s="605"/>
      <c r="LJZ204" s="605"/>
      <c r="LKA204" s="605"/>
      <c r="LKB204" s="605"/>
      <c r="LKC204" s="605"/>
      <c r="LKD204" s="605"/>
      <c r="LKE204" s="605"/>
      <c r="LKF204" s="605"/>
      <c r="LKG204" s="605"/>
      <c r="LKH204" s="605"/>
      <c r="LKI204" s="605"/>
      <c r="LKJ204" s="605"/>
      <c r="LKK204" s="605"/>
      <c r="LKL204" s="605"/>
      <c r="LKM204" s="605"/>
      <c r="LKN204" s="605"/>
      <c r="LKO204" s="605"/>
      <c r="LKP204" s="605"/>
      <c r="LKQ204" s="605"/>
      <c r="LKR204" s="605"/>
      <c r="LKS204" s="605"/>
      <c r="LKT204" s="605"/>
      <c r="LKU204" s="605"/>
      <c r="LKV204" s="605"/>
      <c r="LKW204" s="605"/>
      <c r="LKX204" s="605"/>
      <c r="LKY204" s="605"/>
      <c r="LKZ204" s="605"/>
      <c r="LLA204" s="605"/>
      <c r="LLB204" s="605"/>
      <c r="LLC204" s="605"/>
      <c r="LLD204" s="605"/>
      <c r="LLE204" s="605"/>
      <c r="LLF204" s="605"/>
      <c r="LLG204" s="605"/>
      <c r="LLH204" s="605"/>
      <c r="LLI204" s="605"/>
      <c r="LLJ204" s="605"/>
      <c r="LLK204" s="605"/>
      <c r="LLL204" s="605"/>
      <c r="LLM204" s="605"/>
      <c r="LLN204" s="605"/>
      <c r="LLO204" s="605"/>
      <c r="LLP204" s="605"/>
      <c r="LLQ204" s="605"/>
      <c r="LLR204" s="605"/>
      <c r="LLS204" s="605"/>
      <c r="LLT204" s="605"/>
      <c r="LLU204" s="605"/>
      <c r="LLV204" s="605"/>
      <c r="LLW204" s="605"/>
      <c r="LLX204" s="605"/>
      <c r="LLY204" s="605"/>
      <c r="LLZ204" s="605"/>
      <c r="LMA204" s="605"/>
      <c r="LMB204" s="605"/>
      <c r="LMC204" s="605"/>
      <c r="LMD204" s="605"/>
      <c r="LME204" s="605"/>
      <c r="LMF204" s="605"/>
      <c r="LMG204" s="605"/>
      <c r="LMH204" s="605"/>
      <c r="LMI204" s="605"/>
      <c r="LMJ204" s="605"/>
      <c r="LMK204" s="605"/>
      <c r="LML204" s="605"/>
      <c r="LMM204" s="605"/>
      <c r="LMN204" s="605"/>
      <c r="LMO204" s="605"/>
      <c r="LMP204" s="605"/>
      <c r="LMQ204" s="605"/>
      <c r="LMR204" s="605"/>
      <c r="LMS204" s="605"/>
      <c r="LMT204" s="605"/>
      <c r="LMU204" s="605"/>
      <c r="LMV204" s="605"/>
      <c r="LMW204" s="605"/>
      <c r="LMX204" s="605"/>
      <c r="LMY204" s="605"/>
      <c r="LMZ204" s="605"/>
      <c r="LNA204" s="605"/>
      <c r="LNB204" s="605"/>
      <c r="LNC204" s="605"/>
      <c r="LND204" s="605"/>
      <c r="LNE204" s="605"/>
      <c r="LNF204" s="605"/>
      <c r="LNG204" s="605"/>
      <c r="LNH204" s="605"/>
      <c r="LNI204" s="605"/>
      <c r="LNJ204" s="605"/>
      <c r="LNK204" s="605"/>
      <c r="LNL204" s="605"/>
      <c r="LNM204" s="605"/>
      <c r="LNN204" s="605"/>
      <c r="LNO204" s="605"/>
      <c r="LNP204" s="605"/>
      <c r="LNQ204" s="605"/>
      <c r="LNR204" s="605"/>
      <c r="LNS204" s="605"/>
      <c r="LNT204" s="605"/>
      <c r="LNU204" s="605"/>
      <c r="LNV204" s="605"/>
      <c r="LNW204" s="605"/>
      <c r="LNX204" s="605"/>
      <c r="LNY204" s="605"/>
      <c r="LNZ204" s="605"/>
      <c r="LOA204" s="605"/>
      <c r="LOB204" s="605"/>
      <c r="LOC204" s="605"/>
      <c r="LOD204" s="605"/>
      <c r="LOE204" s="605"/>
      <c r="LOF204" s="605"/>
      <c r="LOG204" s="605"/>
      <c r="LOH204" s="605"/>
      <c r="LOI204" s="605"/>
      <c r="LOJ204" s="605"/>
      <c r="LOK204" s="605"/>
      <c r="LOL204" s="605"/>
      <c r="LOM204" s="605"/>
      <c r="LON204" s="605"/>
      <c r="LOO204" s="605"/>
      <c r="LOP204" s="605"/>
      <c r="LOQ204" s="605"/>
      <c r="LOR204" s="605"/>
      <c r="LOS204" s="605"/>
      <c r="LOT204" s="605"/>
      <c r="LOU204" s="605"/>
      <c r="LOV204" s="605"/>
      <c r="LOW204" s="605"/>
      <c r="LOX204" s="605"/>
      <c r="LOY204" s="605"/>
      <c r="LOZ204" s="605"/>
      <c r="LPA204" s="605"/>
      <c r="LPB204" s="605"/>
      <c r="LPC204" s="605"/>
      <c r="LPD204" s="605"/>
      <c r="LPE204" s="605"/>
      <c r="LPF204" s="605"/>
      <c r="LPG204" s="605"/>
      <c r="LPH204" s="605"/>
      <c r="LPI204" s="605"/>
      <c r="LPJ204" s="605"/>
      <c r="LPK204" s="605"/>
      <c r="LPL204" s="605"/>
      <c r="LPM204" s="605"/>
      <c r="LPN204" s="605"/>
      <c r="LPO204" s="605"/>
      <c r="LPP204" s="605"/>
      <c r="LPQ204" s="605"/>
      <c r="LPR204" s="605"/>
      <c r="LPS204" s="605"/>
      <c r="LPT204" s="605"/>
      <c r="LPU204" s="605"/>
      <c r="LPV204" s="605"/>
      <c r="LPW204" s="605"/>
      <c r="LPX204" s="605"/>
      <c r="LPY204" s="605"/>
      <c r="LPZ204" s="605"/>
      <c r="LQA204" s="605"/>
      <c r="LQB204" s="605"/>
      <c r="LQC204" s="605"/>
      <c r="LQD204" s="605"/>
      <c r="LQE204" s="605"/>
      <c r="LQF204" s="605"/>
      <c r="LQG204" s="605"/>
      <c r="LQH204" s="605"/>
      <c r="LQI204" s="605"/>
      <c r="LQJ204" s="605"/>
      <c r="LQK204" s="605"/>
      <c r="LQL204" s="605"/>
      <c r="LQM204" s="605"/>
      <c r="LQN204" s="605"/>
      <c r="LQO204" s="605"/>
      <c r="LQP204" s="605"/>
      <c r="LQQ204" s="605"/>
      <c r="LQR204" s="605"/>
      <c r="LQS204" s="605"/>
      <c r="LQT204" s="605"/>
      <c r="LQU204" s="605"/>
      <c r="LQV204" s="605"/>
      <c r="LQW204" s="605"/>
      <c r="LQX204" s="605"/>
      <c r="LQY204" s="605"/>
      <c r="LQZ204" s="605"/>
      <c r="LRA204" s="605"/>
      <c r="LRB204" s="605"/>
      <c r="LRC204" s="605"/>
      <c r="LRD204" s="605"/>
      <c r="LRE204" s="605"/>
      <c r="LRF204" s="605"/>
      <c r="LRG204" s="605"/>
      <c r="LRH204" s="605"/>
      <c r="LRI204" s="605"/>
      <c r="LRJ204" s="605"/>
      <c r="LRK204" s="605"/>
      <c r="LRL204" s="605"/>
      <c r="LRM204" s="605"/>
      <c r="LRN204" s="605"/>
      <c r="LRO204" s="605"/>
      <c r="LRP204" s="605"/>
      <c r="LRQ204" s="605"/>
      <c r="LRR204" s="605"/>
      <c r="LRS204" s="605"/>
      <c r="LRT204" s="605"/>
      <c r="LRU204" s="605"/>
      <c r="LRV204" s="605"/>
      <c r="LRW204" s="605"/>
      <c r="LRX204" s="605"/>
      <c r="LRY204" s="605"/>
      <c r="LRZ204" s="605"/>
      <c r="LSA204" s="605"/>
      <c r="LSB204" s="605"/>
      <c r="LSC204" s="605"/>
      <c r="LSD204" s="605"/>
      <c r="LSE204" s="605"/>
      <c r="LSF204" s="605"/>
      <c r="LSG204" s="605"/>
      <c r="LSH204" s="605"/>
      <c r="LSI204" s="605"/>
      <c r="LSJ204" s="605"/>
      <c r="LSK204" s="605"/>
      <c r="LSL204" s="605"/>
      <c r="LSM204" s="605"/>
      <c r="LSN204" s="605"/>
      <c r="LSO204" s="605"/>
      <c r="LSP204" s="605"/>
      <c r="LSQ204" s="605"/>
      <c r="LSR204" s="605"/>
      <c r="LSS204" s="605"/>
      <c r="LST204" s="605"/>
      <c r="LSU204" s="605"/>
      <c r="LSV204" s="605"/>
      <c r="LSW204" s="605"/>
      <c r="LSX204" s="605"/>
      <c r="LSY204" s="605"/>
      <c r="LSZ204" s="605"/>
      <c r="LTA204" s="605"/>
      <c r="LTB204" s="605"/>
      <c r="LTC204" s="605"/>
      <c r="LTD204" s="605"/>
      <c r="LTE204" s="605"/>
      <c r="LTF204" s="605"/>
      <c r="LTG204" s="605"/>
      <c r="LTH204" s="605"/>
      <c r="LTI204" s="605"/>
      <c r="LTJ204" s="605"/>
      <c r="LTK204" s="605"/>
      <c r="LTL204" s="605"/>
      <c r="LTM204" s="605"/>
      <c r="LTN204" s="605"/>
      <c r="LTO204" s="605"/>
      <c r="LTP204" s="605"/>
      <c r="LTQ204" s="605"/>
      <c r="LTR204" s="605"/>
      <c r="LTS204" s="605"/>
      <c r="LTT204" s="605"/>
      <c r="LTU204" s="605"/>
      <c r="LTV204" s="605"/>
      <c r="LTW204" s="605"/>
      <c r="LTX204" s="605"/>
      <c r="LTY204" s="605"/>
      <c r="LTZ204" s="605"/>
      <c r="LUA204" s="605"/>
      <c r="LUB204" s="605"/>
      <c r="LUC204" s="605"/>
      <c r="LUD204" s="605"/>
      <c r="LUE204" s="605"/>
      <c r="LUF204" s="605"/>
      <c r="LUG204" s="605"/>
      <c r="LUH204" s="605"/>
      <c r="LUI204" s="605"/>
      <c r="LUJ204" s="605"/>
      <c r="LUK204" s="605"/>
      <c r="LUL204" s="605"/>
      <c r="LUM204" s="605"/>
      <c r="LUN204" s="605"/>
      <c r="LUO204" s="605"/>
      <c r="LUP204" s="605"/>
      <c r="LUQ204" s="605"/>
      <c r="LUR204" s="605"/>
      <c r="LUS204" s="605"/>
      <c r="LUT204" s="605"/>
      <c r="LUU204" s="605"/>
      <c r="LUV204" s="605"/>
      <c r="LUW204" s="605"/>
      <c r="LUX204" s="605"/>
      <c r="LUY204" s="605"/>
      <c r="LUZ204" s="605"/>
      <c r="LVA204" s="605"/>
      <c r="LVB204" s="605"/>
      <c r="LVC204" s="605"/>
      <c r="LVD204" s="605"/>
      <c r="LVE204" s="605"/>
      <c r="LVF204" s="605"/>
      <c r="LVG204" s="605"/>
      <c r="LVH204" s="605"/>
      <c r="LVI204" s="605"/>
      <c r="LVJ204" s="605"/>
      <c r="LVK204" s="605"/>
      <c r="LVL204" s="605"/>
      <c r="LVM204" s="605"/>
      <c r="LVN204" s="605"/>
      <c r="LVO204" s="605"/>
      <c r="LVP204" s="605"/>
      <c r="LVQ204" s="605"/>
      <c r="LVR204" s="605"/>
      <c r="LVS204" s="605"/>
      <c r="LVT204" s="605"/>
      <c r="LVU204" s="605"/>
      <c r="LVV204" s="605"/>
      <c r="LVW204" s="605"/>
      <c r="LVX204" s="605"/>
      <c r="LVY204" s="605"/>
      <c r="LVZ204" s="605"/>
      <c r="LWA204" s="605"/>
      <c r="LWB204" s="605"/>
      <c r="LWC204" s="605"/>
      <c r="LWD204" s="605"/>
      <c r="LWE204" s="605"/>
      <c r="LWF204" s="605"/>
      <c r="LWG204" s="605"/>
      <c r="LWH204" s="605"/>
      <c r="LWI204" s="605"/>
      <c r="LWJ204" s="605"/>
      <c r="LWK204" s="605"/>
      <c r="LWL204" s="605"/>
      <c r="LWM204" s="605"/>
      <c r="LWN204" s="605"/>
      <c r="LWO204" s="605"/>
      <c r="LWP204" s="605"/>
      <c r="LWQ204" s="605"/>
      <c r="LWR204" s="605"/>
      <c r="LWS204" s="605"/>
      <c r="LWT204" s="605"/>
      <c r="LWU204" s="605"/>
      <c r="LWV204" s="605"/>
      <c r="LWW204" s="605"/>
      <c r="LWX204" s="605"/>
      <c r="LWY204" s="605"/>
      <c r="LWZ204" s="605"/>
      <c r="LXA204" s="605"/>
      <c r="LXB204" s="605"/>
      <c r="LXC204" s="605"/>
      <c r="LXD204" s="605"/>
      <c r="LXE204" s="605"/>
      <c r="LXF204" s="605"/>
      <c r="LXG204" s="605"/>
      <c r="LXH204" s="605"/>
      <c r="LXI204" s="605"/>
      <c r="LXJ204" s="605"/>
      <c r="LXK204" s="605"/>
      <c r="LXL204" s="605"/>
      <c r="LXM204" s="605"/>
      <c r="LXN204" s="605"/>
      <c r="LXO204" s="605"/>
      <c r="LXP204" s="605"/>
      <c r="LXQ204" s="605"/>
      <c r="LXR204" s="605"/>
      <c r="LXS204" s="605"/>
      <c r="LXT204" s="605"/>
      <c r="LXU204" s="605"/>
      <c r="LXV204" s="605"/>
      <c r="LXW204" s="605"/>
      <c r="LXX204" s="605"/>
      <c r="LXY204" s="605"/>
      <c r="LXZ204" s="605"/>
      <c r="LYA204" s="605"/>
      <c r="LYB204" s="605"/>
      <c r="LYC204" s="605"/>
      <c r="LYD204" s="605"/>
      <c r="LYE204" s="605"/>
      <c r="LYF204" s="605"/>
      <c r="LYG204" s="605"/>
      <c r="LYH204" s="605"/>
      <c r="LYI204" s="605"/>
      <c r="LYJ204" s="605"/>
      <c r="LYK204" s="605"/>
      <c r="LYL204" s="605"/>
      <c r="LYM204" s="605"/>
      <c r="LYN204" s="605"/>
      <c r="LYO204" s="605"/>
      <c r="LYP204" s="605"/>
      <c r="LYQ204" s="605"/>
      <c r="LYR204" s="605"/>
      <c r="LYS204" s="605"/>
      <c r="LYT204" s="605"/>
      <c r="LYU204" s="605"/>
      <c r="LYV204" s="605"/>
      <c r="LYW204" s="605"/>
      <c r="LYX204" s="605"/>
      <c r="LYY204" s="605"/>
      <c r="LYZ204" s="605"/>
      <c r="LZA204" s="605"/>
      <c r="LZB204" s="605"/>
      <c r="LZC204" s="605"/>
      <c r="LZD204" s="605"/>
      <c r="LZE204" s="605"/>
      <c r="LZF204" s="605"/>
      <c r="LZG204" s="605"/>
      <c r="LZH204" s="605"/>
      <c r="LZI204" s="605"/>
      <c r="LZJ204" s="605"/>
      <c r="LZK204" s="605"/>
      <c r="LZL204" s="605"/>
      <c r="LZM204" s="605"/>
      <c r="LZN204" s="605"/>
      <c r="LZO204" s="605"/>
      <c r="LZP204" s="605"/>
      <c r="LZQ204" s="605"/>
      <c r="LZR204" s="605"/>
      <c r="LZS204" s="605"/>
      <c r="LZT204" s="605"/>
      <c r="LZU204" s="605"/>
      <c r="LZV204" s="605"/>
      <c r="LZW204" s="605"/>
      <c r="LZX204" s="605"/>
      <c r="LZY204" s="605"/>
      <c r="LZZ204" s="605"/>
      <c r="MAA204" s="605"/>
      <c r="MAB204" s="605"/>
      <c r="MAC204" s="605"/>
      <c r="MAD204" s="605"/>
      <c r="MAE204" s="605"/>
      <c r="MAF204" s="605"/>
      <c r="MAG204" s="605"/>
      <c r="MAH204" s="605"/>
      <c r="MAI204" s="605"/>
      <c r="MAJ204" s="605"/>
      <c r="MAK204" s="605"/>
      <c r="MAL204" s="605"/>
      <c r="MAM204" s="605"/>
      <c r="MAN204" s="605"/>
      <c r="MAO204" s="605"/>
      <c r="MAP204" s="605"/>
      <c r="MAQ204" s="605"/>
      <c r="MAR204" s="605"/>
      <c r="MAS204" s="605"/>
      <c r="MAT204" s="605"/>
      <c r="MAU204" s="605"/>
      <c r="MAV204" s="605"/>
      <c r="MAW204" s="605"/>
      <c r="MAX204" s="605"/>
      <c r="MAY204" s="605"/>
      <c r="MAZ204" s="605"/>
      <c r="MBA204" s="605"/>
      <c r="MBB204" s="605"/>
      <c r="MBC204" s="605"/>
      <c r="MBD204" s="605"/>
      <c r="MBE204" s="605"/>
      <c r="MBF204" s="605"/>
      <c r="MBG204" s="605"/>
      <c r="MBH204" s="605"/>
      <c r="MBI204" s="605"/>
      <c r="MBJ204" s="605"/>
      <c r="MBK204" s="605"/>
      <c r="MBL204" s="605"/>
      <c r="MBM204" s="605"/>
      <c r="MBN204" s="605"/>
      <c r="MBO204" s="605"/>
      <c r="MBP204" s="605"/>
      <c r="MBQ204" s="605"/>
      <c r="MBR204" s="605"/>
      <c r="MBS204" s="605"/>
      <c r="MBT204" s="605"/>
      <c r="MBU204" s="605"/>
      <c r="MBV204" s="605"/>
      <c r="MBW204" s="605"/>
      <c r="MBX204" s="605"/>
      <c r="MBY204" s="605"/>
      <c r="MBZ204" s="605"/>
      <c r="MCA204" s="605"/>
      <c r="MCB204" s="605"/>
      <c r="MCC204" s="605"/>
      <c r="MCD204" s="605"/>
      <c r="MCE204" s="605"/>
      <c r="MCF204" s="605"/>
      <c r="MCG204" s="605"/>
      <c r="MCH204" s="605"/>
      <c r="MCI204" s="605"/>
      <c r="MCJ204" s="605"/>
      <c r="MCK204" s="605"/>
      <c r="MCL204" s="605"/>
      <c r="MCM204" s="605"/>
      <c r="MCN204" s="605"/>
      <c r="MCO204" s="605"/>
      <c r="MCP204" s="605"/>
      <c r="MCQ204" s="605"/>
      <c r="MCR204" s="605"/>
      <c r="MCS204" s="605"/>
      <c r="MCT204" s="605"/>
      <c r="MCU204" s="605"/>
      <c r="MCV204" s="605"/>
      <c r="MCW204" s="605"/>
      <c r="MCX204" s="605"/>
      <c r="MCY204" s="605"/>
      <c r="MCZ204" s="605"/>
      <c r="MDA204" s="605"/>
      <c r="MDB204" s="605"/>
      <c r="MDC204" s="605"/>
      <c r="MDD204" s="605"/>
      <c r="MDE204" s="605"/>
      <c r="MDF204" s="605"/>
      <c r="MDG204" s="605"/>
      <c r="MDH204" s="605"/>
      <c r="MDI204" s="605"/>
      <c r="MDJ204" s="605"/>
      <c r="MDK204" s="605"/>
      <c r="MDL204" s="605"/>
      <c r="MDM204" s="605"/>
      <c r="MDN204" s="605"/>
      <c r="MDO204" s="605"/>
      <c r="MDP204" s="605"/>
      <c r="MDQ204" s="605"/>
      <c r="MDR204" s="605"/>
      <c r="MDS204" s="605"/>
      <c r="MDT204" s="605"/>
      <c r="MDU204" s="605"/>
      <c r="MDV204" s="605"/>
      <c r="MDW204" s="605"/>
      <c r="MDX204" s="605"/>
      <c r="MDY204" s="605"/>
      <c r="MDZ204" s="605"/>
      <c r="MEA204" s="605"/>
      <c r="MEB204" s="605"/>
      <c r="MEC204" s="605"/>
      <c r="MED204" s="605"/>
      <c r="MEE204" s="605"/>
      <c r="MEF204" s="605"/>
      <c r="MEG204" s="605"/>
      <c r="MEH204" s="605"/>
      <c r="MEI204" s="605"/>
      <c r="MEJ204" s="605"/>
      <c r="MEK204" s="605"/>
      <c r="MEL204" s="605"/>
      <c r="MEM204" s="605"/>
      <c r="MEN204" s="605"/>
      <c r="MEO204" s="605"/>
      <c r="MEP204" s="605"/>
      <c r="MEQ204" s="605"/>
      <c r="MER204" s="605"/>
      <c r="MES204" s="605"/>
      <c r="MET204" s="605"/>
      <c r="MEU204" s="605"/>
      <c r="MEV204" s="605"/>
      <c r="MEW204" s="605"/>
      <c r="MEX204" s="605"/>
      <c r="MEY204" s="605"/>
      <c r="MEZ204" s="605"/>
      <c r="MFA204" s="605"/>
      <c r="MFB204" s="605"/>
      <c r="MFC204" s="605"/>
      <c r="MFD204" s="605"/>
      <c r="MFE204" s="605"/>
      <c r="MFF204" s="605"/>
      <c r="MFG204" s="605"/>
      <c r="MFH204" s="605"/>
      <c r="MFI204" s="605"/>
      <c r="MFJ204" s="605"/>
      <c r="MFK204" s="605"/>
      <c r="MFL204" s="605"/>
      <c r="MFM204" s="605"/>
      <c r="MFN204" s="605"/>
      <c r="MFO204" s="605"/>
      <c r="MFP204" s="605"/>
      <c r="MFQ204" s="605"/>
      <c r="MFR204" s="605"/>
      <c r="MFS204" s="605"/>
      <c r="MFT204" s="605"/>
      <c r="MFU204" s="605"/>
      <c r="MFV204" s="605"/>
      <c r="MFW204" s="605"/>
      <c r="MFX204" s="605"/>
      <c r="MFY204" s="605"/>
      <c r="MFZ204" s="605"/>
      <c r="MGA204" s="605"/>
      <c r="MGB204" s="605"/>
      <c r="MGC204" s="605"/>
      <c r="MGD204" s="605"/>
      <c r="MGE204" s="605"/>
      <c r="MGF204" s="605"/>
      <c r="MGG204" s="605"/>
      <c r="MGH204" s="605"/>
      <c r="MGI204" s="605"/>
      <c r="MGJ204" s="605"/>
      <c r="MGK204" s="605"/>
      <c r="MGL204" s="605"/>
      <c r="MGM204" s="605"/>
      <c r="MGN204" s="605"/>
      <c r="MGO204" s="605"/>
      <c r="MGP204" s="605"/>
      <c r="MGQ204" s="605"/>
      <c r="MGR204" s="605"/>
      <c r="MGS204" s="605"/>
      <c r="MGT204" s="605"/>
      <c r="MGU204" s="605"/>
      <c r="MGV204" s="605"/>
      <c r="MGW204" s="605"/>
      <c r="MGX204" s="605"/>
      <c r="MGY204" s="605"/>
      <c r="MGZ204" s="605"/>
      <c r="MHA204" s="605"/>
      <c r="MHB204" s="605"/>
      <c r="MHC204" s="605"/>
      <c r="MHD204" s="605"/>
      <c r="MHE204" s="605"/>
      <c r="MHF204" s="605"/>
      <c r="MHG204" s="605"/>
      <c r="MHH204" s="605"/>
      <c r="MHI204" s="605"/>
      <c r="MHJ204" s="605"/>
      <c r="MHK204" s="605"/>
      <c r="MHL204" s="605"/>
      <c r="MHM204" s="605"/>
      <c r="MHN204" s="605"/>
      <c r="MHO204" s="605"/>
      <c r="MHP204" s="605"/>
      <c r="MHQ204" s="605"/>
      <c r="MHR204" s="605"/>
      <c r="MHS204" s="605"/>
      <c r="MHT204" s="605"/>
      <c r="MHU204" s="605"/>
      <c r="MHV204" s="605"/>
      <c r="MHW204" s="605"/>
      <c r="MHX204" s="605"/>
      <c r="MHY204" s="605"/>
      <c r="MHZ204" s="605"/>
      <c r="MIA204" s="605"/>
      <c r="MIB204" s="605"/>
      <c r="MIC204" s="605"/>
      <c r="MID204" s="605"/>
      <c r="MIE204" s="605"/>
      <c r="MIF204" s="605"/>
      <c r="MIG204" s="605"/>
      <c r="MIH204" s="605"/>
      <c r="MII204" s="605"/>
      <c r="MIJ204" s="605"/>
      <c r="MIK204" s="605"/>
      <c r="MIL204" s="605"/>
      <c r="MIM204" s="605"/>
      <c r="MIN204" s="605"/>
      <c r="MIO204" s="605"/>
      <c r="MIP204" s="605"/>
      <c r="MIQ204" s="605"/>
      <c r="MIR204" s="605"/>
      <c r="MIS204" s="605"/>
      <c r="MIT204" s="605"/>
      <c r="MIU204" s="605"/>
      <c r="MIV204" s="605"/>
      <c r="MIW204" s="605"/>
      <c r="MIX204" s="605"/>
      <c r="MIY204" s="605"/>
      <c r="MIZ204" s="605"/>
      <c r="MJA204" s="605"/>
      <c r="MJB204" s="605"/>
      <c r="MJC204" s="605"/>
      <c r="MJD204" s="605"/>
      <c r="MJE204" s="605"/>
      <c r="MJF204" s="605"/>
      <c r="MJG204" s="605"/>
      <c r="MJH204" s="605"/>
      <c r="MJI204" s="605"/>
      <c r="MJJ204" s="605"/>
      <c r="MJK204" s="605"/>
      <c r="MJL204" s="605"/>
      <c r="MJM204" s="605"/>
      <c r="MJN204" s="605"/>
      <c r="MJO204" s="605"/>
      <c r="MJP204" s="605"/>
      <c r="MJQ204" s="605"/>
      <c r="MJR204" s="605"/>
      <c r="MJS204" s="605"/>
      <c r="MJT204" s="605"/>
      <c r="MJU204" s="605"/>
      <c r="MJV204" s="605"/>
      <c r="MJW204" s="605"/>
      <c r="MJX204" s="605"/>
      <c r="MJY204" s="605"/>
      <c r="MJZ204" s="605"/>
      <c r="MKA204" s="605"/>
      <c r="MKB204" s="605"/>
      <c r="MKC204" s="605"/>
      <c r="MKD204" s="605"/>
      <c r="MKE204" s="605"/>
      <c r="MKF204" s="605"/>
      <c r="MKG204" s="605"/>
      <c r="MKH204" s="605"/>
      <c r="MKI204" s="605"/>
      <c r="MKJ204" s="605"/>
      <c r="MKK204" s="605"/>
      <c r="MKL204" s="605"/>
      <c r="MKM204" s="605"/>
      <c r="MKN204" s="605"/>
      <c r="MKO204" s="605"/>
      <c r="MKP204" s="605"/>
      <c r="MKQ204" s="605"/>
      <c r="MKR204" s="605"/>
      <c r="MKS204" s="605"/>
      <c r="MKT204" s="605"/>
      <c r="MKU204" s="605"/>
      <c r="MKV204" s="605"/>
      <c r="MKW204" s="605"/>
      <c r="MKX204" s="605"/>
      <c r="MKY204" s="605"/>
      <c r="MKZ204" s="605"/>
      <c r="MLA204" s="605"/>
      <c r="MLB204" s="605"/>
      <c r="MLC204" s="605"/>
      <c r="MLD204" s="605"/>
      <c r="MLE204" s="605"/>
      <c r="MLF204" s="605"/>
      <c r="MLG204" s="605"/>
      <c r="MLH204" s="605"/>
      <c r="MLI204" s="605"/>
      <c r="MLJ204" s="605"/>
      <c r="MLK204" s="605"/>
      <c r="MLL204" s="605"/>
      <c r="MLM204" s="605"/>
      <c r="MLN204" s="605"/>
      <c r="MLO204" s="605"/>
      <c r="MLP204" s="605"/>
      <c r="MLQ204" s="605"/>
      <c r="MLR204" s="605"/>
      <c r="MLS204" s="605"/>
      <c r="MLT204" s="605"/>
      <c r="MLU204" s="605"/>
      <c r="MLV204" s="605"/>
      <c r="MLW204" s="605"/>
      <c r="MLX204" s="605"/>
      <c r="MLY204" s="605"/>
      <c r="MLZ204" s="605"/>
      <c r="MMA204" s="605"/>
      <c r="MMB204" s="605"/>
      <c r="MMC204" s="605"/>
      <c r="MMD204" s="605"/>
      <c r="MME204" s="605"/>
      <c r="MMF204" s="605"/>
      <c r="MMG204" s="605"/>
      <c r="MMH204" s="605"/>
      <c r="MMI204" s="605"/>
      <c r="MMJ204" s="605"/>
      <c r="MMK204" s="605"/>
      <c r="MML204" s="605"/>
      <c r="MMM204" s="605"/>
      <c r="MMN204" s="605"/>
      <c r="MMO204" s="605"/>
      <c r="MMP204" s="605"/>
      <c r="MMQ204" s="605"/>
      <c r="MMR204" s="605"/>
      <c r="MMS204" s="605"/>
      <c r="MMT204" s="605"/>
      <c r="MMU204" s="605"/>
      <c r="MMV204" s="605"/>
      <c r="MMW204" s="605"/>
      <c r="MMX204" s="605"/>
      <c r="MMY204" s="605"/>
      <c r="MMZ204" s="605"/>
      <c r="MNA204" s="605"/>
      <c r="MNB204" s="605"/>
      <c r="MNC204" s="605"/>
      <c r="MND204" s="605"/>
      <c r="MNE204" s="605"/>
      <c r="MNF204" s="605"/>
      <c r="MNG204" s="605"/>
      <c r="MNH204" s="605"/>
      <c r="MNI204" s="605"/>
      <c r="MNJ204" s="605"/>
      <c r="MNK204" s="605"/>
      <c r="MNL204" s="605"/>
      <c r="MNM204" s="605"/>
      <c r="MNN204" s="605"/>
      <c r="MNO204" s="605"/>
      <c r="MNP204" s="605"/>
      <c r="MNQ204" s="605"/>
      <c r="MNR204" s="605"/>
      <c r="MNS204" s="605"/>
      <c r="MNT204" s="605"/>
      <c r="MNU204" s="605"/>
      <c r="MNV204" s="605"/>
      <c r="MNW204" s="605"/>
      <c r="MNX204" s="605"/>
      <c r="MNY204" s="605"/>
      <c r="MNZ204" s="605"/>
      <c r="MOA204" s="605"/>
      <c r="MOB204" s="605"/>
      <c r="MOC204" s="605"/>
      <c r="MOD204" s="605"/>
      <c r="MOE204" s="605"/>
      <c r="MOF204" s="605"/>
      <c r="MOG204" s="605"/>
      <c r="MOH204" s="605"/>
      <c r="MOI204" s="605"/>
      <c r="MOJ204" s="605"/>
      <c r="MOK204" s="605"/>
      <c r="MOL204" s="605"/>
      <c r="MOM204" s="605"/>
      <c r="MON204" s="605"/>
      <c r="MOO204" s="605"/>
      <c r="MOP204" s="605"/>
      <c r="MOQ204" s="605"/>
      <c r="MOR204" s="605"/>
      <c r="MOS204" s="605"/>
      <c r="MOT204" s="605"/>
      <c r="MOU204" s="605"/>
      <c r="MOV204" s="605"/>
      <c r="MOW204" s="605"/>
      <c r="MOX204" s="605"/>
      <c r="MOY204" s="605"/>
      <c r="MOZ204" s="605"/>
      <c r="MPA204" s="605"/>
      <c r="MPB204" s="605"/>
      <c r="MPC204" s="605"/>
      <c r="MPD204" s="605"/>
      <c r="MPE204" s="605"/>
      <c r="MPF204" s="605"/>
      <c r="MPG204" s="605"/>
      <c r="MPH204" s="605"/>
      <c r="MPI204" s="605"/>
      <c r="MPJ204" s="605"/>
      <c r="MPK204" s="605"/>
      <c r="MPL204" s="605"/>
      <c r="MPM204" s="605"/>
      <c r="MPN204" s="605"/>
      <c r="MPO204" s="605"/>
      <c r="MPP204" s="605"/>
      <c r="MPQ204" s="605"/>
      <c r="MPR204" s="605"/>
      <c r="MPS204" s="605"/>
      <c r="MPT204" s="605"/>
      <c r="MPU204" s="605"/>
      <c r="MPV204" s="605"/>
      <c r="MPW204" s="605"/>
      <c r="MPX204" s="605"/>
      <c r="MPY204" s="605"/>
      <c r="MPZ204" s="605"/>
      <c r="MQA204" s="605"/>
      <c r="MQB204" s="605"/>
      <c r="MQC204" s="605"/>
      <c r="MQD204" s="605"/>
      <c r="MQE204" s="605"/>
      <c r="MQF204" s="605"/>
      <c r="MQG204" s="605"/>
      <c r="MQH204" s="605"/>
      <c r="MQI204" s="605"/>
      <c r="MQJ204" s="605"/>
      <c r="MQK204" s="605"/>
      <c r="MQL204" s="605"/>
      <c r="MQM204" s="605"/>
      <c r="MQN204" s="605"/>
      <c r="MQO204" s="605"/>
      <c r="MQP204" s="605"/>
      <c r="MQQ204" s="605"/>
      <c r="MQR204" s="605"/>
      <c r="MQS204" s="605"/>
      <c r="MQT204" s="605"/>
      <c r="MQU204" s="605"/>
      <c r="MQV204" s="605"/>
      <c r="MQW204" s="605"/>
      <c r="MQX204" s="605"/>
      <c r="MQY204" s="605"/>
      <c r="MQZ204" s="605"/>
      <c r="MRA204" s="605"/>
      <c r="MRB204" s="605"/>
      <c r="MRC204" s="605"/>
      <c r="MRD204" s="605"/>
      <c r="MRE204" s="605"/>
      <c r="MRF204" s="605"/>
      <c r="MRG204" s="605"/>
      <c r="MRH204" s="605"/>
      <c r="MRI204" s="605"/>
      <c r="MRJ204" s="605"/>
      <c r="MRK204" s="605"/>
      <c r="MRL204" s="605"/>
      <c r="MRM204" s="605"/>
      <c r="MRN204" s="605"/>
      <c r="MRO204" s="605"/>
      <c r="MRP204" s="605"/>
      <c r="MRQ204" s="605"/>
      <c r="MRR204" s="605"/>
      <c r="MRS204" s="605"/>
      <c r="MRT204" s="605"/>
      <c r="MRU204" s="605"/>
      <c r="MRV204" s="605"/>
      <c r="MRW204" s="605"/>
      <c r="MRX204" s="605"/>
      <c r="MRY204" s="605"/>
      <c r="MRZ204" s="605"/>
      <c r="MSA204" s="605"/>
      <c r="MSB204" s="605"/>
      <c r="MSC204" s="605"/>
      <c r="MSD204" s="605"/>
      <c r="MSE204" s="605"/>
      <c r="MSF204" s="605"/>
      <c r="MSG204" s="605"/>
      <c r="MSH204" s="605"/>
      <c r="MSI204" s="605"/>
      <c r="MSJ204" s="605"/>
      <c r="MSK204" s="605"/>
      <c r="MSL204" s="605"/>
      <c r="MSM204" s="605"/>
      <c r="MSN204" s="605"/>
      <c r="MSO204" s="605"/>
      <c r="MSP204" s="605"/>
      <c r="MSQ204" s="605"/>
      <c r="MSR204" s="605"/>
      <c r="MSS204" s="605"/>
      <c r="MST204" s="605"/>
      <c r="MSU204" s="605"/>
      <c r="MSV204" s="605"/>
      <c r="MSW204" s="605"/>
      <c r="MSX204" s="605"/>
      <c r="MSY204" s="605"/>
      <c r="MSZ204" s="605"/>
      <c r="MTA204" s="605"/>
      <c r="MTB204" s="605"/>
      <c r="MTC204" s="605"/>
      <c r="MTD204" s="605"/>
      <c r="MTE204" s="605"/>
      <c r="MTF204" s="605"/>
      <c r="MTG204" s="605"/>
      <c r="MTH204" s="605"/>
      <c r="MTI204" s="605"/>
      <c r="MTJ204" s="605"/>
      <c r="MTK204" s="605"/>
      <c r="MTL204" s="605"/>
      <c r="MTM204" s="605"/>
      <c r="MTN204" s="605"/>
      <c r="MTO204" s="605"/>
      <c r="MTP204" s="605"/>
      <c r="MTQ204" s="605"/>
      <c r="MTR204" s="605"/>
      <c r="MTS204" s="605"/>
      <c r="MTT204" s="605"/>
      <c r="MTU204" s="605"/>
      <c r="MTV204" s="605"/>
      <c r="MTW204" s="605"/>
      <c r="MTX204" s="605"/>
      <c r="MTY204" s="605"/>
      <c r="MTZ204" s="605"/>
      <c r="MUA204" s="605"/>
      <c r="MUB204" s="605"/>
      <c r="MUC204" s="605"/>
      <c r="MUD204" s="605"/>
      <c r="MUE204" s="605"/>
      <c r="MUF204" s="605"/>
      <c r="MUG204" s="605"/>
      <c r="MUH204" s="605"/>
      <c r="MUI204" s="605"/>
      <c r="MUJ204" s="605"/>
      <c r="MUK204" s="605"/>
      <c r="MUL204" s="605"/>
      <c r="MUM204" s="605"/>
      <c r="MUN204" s="605"/>
      <c r="MUO204" s="605"/>
      <c r="MUP204" s="605"/>
      <c r="MUQ204" s="605"/>
      <c r="MUR204" s="605"/>
      <c r="MUS204" s="605"/>
      <c r="MUT204" s="605"/>
      <c r="MUU204" s="605"/>
      <c r="MUV204" s="605"/>
      <c r="MUW204" s="605"/>
      <c r="MUX204" s="605"/>
      <c r="MUY204" s="605"/>
      <c r="MUZ204" s="605"/>
      <c r="MVA204" s="605"/>
      <c r="MVB204" s="605"/>
      <c r="MVC204" s="605"/>
      <c r="MVD204" s="605"/>
      <c r="MVE204" s="605"/>
      <c r="MVF204" s="605"/>
      <c r="MVG204" s="605"/>
      <c r="MVH204" s="605"/>
      <c r="MVI204" s="605"/>
      <c r="MVJ204" s="605"/>
      <c r="MVK204" s="605"/>
      <c r="MVL204" s="605"/>
      <c r="MVM204" s="605"/>
      <c r="MVN204" s="605"/>
      <c r="MVO204" s="605"/>
      <c r="MVP204" s="605"/>
      <c r="MVQ204" s="605"/>
      <c r="MVR204" s="605"/>
      <c r="MVS204" s="605"/>
      <c r="MVT204" s="605"/>
      <c r="MVU204" s="605"/>
      <c r="MVV204" s="605"/>
      <c r="MVW204" s="605"/>
      <c r="MVX204" s="605"/>
      <c r="MVY204" s="605"/>
      <c r="MVZ204" s="605"/>
      <c r="MWA204" s="605"/>
      <c r="MWB204" s="605"/>
      <c r="MWC204" s="605"/>
      <c r="MWD204" s="605"/>
      <c r="MWE204" s="605"/>
      <c r="MWF204" s="605"/>
      <c r="MWG204" s="605"/>
      <c r="MWH204" s="605"/>
      <c r="MWI204" s="605"/>
      <c r="MWJ204" s="605"/>
      <c r="MWK204" s="605"/>
      <c r="MWL204" s="605"/>
      <c r="MWM204" s="605"/>
      <c r="MWN204" s="605"/>
      <c r="MWO204" s="605"/>
      <c r="MWP204" s="605"/>
      <c r="MWQ204" s="605"/>
      <c r="MWR204" s="605"/>
      <c r="MWS204" s="605"/>
      <c r="MWT204" s="605"/>
      <c r="MWU204" s="605"/>
      <c r="MWV204" s="605"/>
      <c r="MWW204" s="605"/>
      <c r="MWX204" s="605"/>
      <c r="MWY204" s="605"/>
      <c r="MWZ204" s="605"/>
      <c r="MXA204" s="605"/>
      <c r="MXB204" s="605"/>
      <c r="MXC204" s="605"/>
      <c r="MXD204" s="605"/>
      <c r="MXE204" s="605"/>
      <c r="MXF204" s="605"/>
      <c r="MXG204" s="605"/>
      <c r="MXH204" s="605"/>
      <c r="MXI204" s="605"/>
      <c r="MXJ204" s="605"/>
      <c r="MXK204" s="605"/>
      <c r="MXL204" s="605"/>
      <c r="MXM204" s="605"/>
      <c r="MXN204" s="605"/>
      <c r="MXO204" s="605"/>
      <c r="MXP204" s="605"/>
      <c r="MXQ204" s="605"/>
      <c r="MXR204" s="605"/>
      <c r="MXS204" s="605"/>
      <c r="MXT204" s="605"/>
      <c r="MXU204" s="605"/>
      <c r="MXV204" s="605"/>
      <c r="MXW204" s="605"/>
      <c r="MXX204" s="605"/>
      <c r="MXY204" s="605"/>
      <c r="MXZ204" s="605"/>
      <c r="MYA204" s="605"/>
      <c r="MYB204" s="605"/>
      <c r="MYC204" s="605"/>
      <c r="MYD204" s="605"/>
      <c r="MYE204" s="605"/>
      <c r="MYF204" s="605"/>
      <c r="MYG204" s="605"/>
      <c r="MYH204" s="605"/>
      <c r="MYI204" s="605"/>
      <c r="MYJ204" s="605"/>
      <c r="MYK204" s="605"/>
      <c r="MYL204" s="605"/>
      <c r="MYM204" s="605"/>
      <c r="MYN204" s="605"/>
      <c r="MYO204" s="605"/>
      <c r="MYP204" s="605"/>
      <c r="MYQ204" s="605"/>
      <c r="MYR204" s="605"/>
      <c r="MYS204" s="605"/>
      <c r="MYT204" s="605"/>
      <c r="MYU204" s="605"/>
      <c r="MYV204" s="605"/>
      <c r="MYW204" s="605"/>
      <c r="MYX204" s="605"/>
      <c r="MYY204" s="605"/>
      <c r="MYZ204" s="605"/>
      <c r="MZA204" s="605"/>
      <c r="MZB204" s="605"/>
      <c r="MZC204" s="605"/>
      <c r="MZD204" s="605"/>
      <c r="MZE204" s="605"/>
      <c r="MZF204" s="605"/>
      <c r="MZG204" s="605"/>
      <c r="MZH204" s="605"/>
      <c r="MZI204" s="605"/>
      <c r="MZJ204" s="605"/>
      <c r="MZK204" s="605"/>
      <c r="MZL204" s="605"/>
      <c r="MZM204" s="605"/>
      <c r="MZN204" s="605"/>
      <c r="MZO204" s="605"/>
      <c r="MZP204" s="605"/>
      <c r="MZQ204" s="605"/>
      <c r="MZR204" s="605"/>
      <c r="MZS204" s="605"/>
      <c r="MZT204" s="605"/>
      <c r="MZU204" s="605"/>
      <c r="MZV204" s="605"/>
      <c r="MZW204" s="605"/>
      <c r="MZX204" s="605"/>
      <c r="MZY204" s="605"/>
      <c r="MZZ204" s="605"/>
      <c r="NAA204" s="605"/>
      <c r="NAB204" s="605"/>
      <c r="NAC204" s="605"/>
      <c r="NAD204" s="605"/>
      <c r="NAE204" s="605"/>
      <c r="NAF204" s="605"/>
      <c r="NAG204" s="605"/>
      <c r="NAH204" s="605"/>
      <c r="NAI204" s="605"/>
      <c r="NAJ204" s="605"/>
      <c r="NAK204" s="605"/>
      <c r="NAL204" s="605"/>
      <c r="NAM204" s="605"/>
      <c r="NAN204" s="605"/>
      <c r="NAO204" s="605"/>
      <c r="NAP204" s="605"/>
      <c r="NAQ204" s="605"/>
      <c r="NAR204" s="605"/>
      <c r="NAS204" s="605"/>
      <c r="NAT204" s="605"/>
      <c r="NAU204" s="605"/>
      <c r="NAV204" s="605"/>
      <c r="NAW204" s="605"/>
      <c r="NAX204" s="605"/>
      <c r="NAY204" s="605"/>
      <c r="NAZ204" s="605"/>
      <c r="NBA204" s="605"/>
      <c r="NBB204" s="605"/>
      <c r="NBC204" s="605"/>
      <c r="NBD204" s="605"/>
      <c r="NBE204" s="605"/>
      <c r="NBF204" s="605"/>
      <c r="NBG204" s="605"/>
      <c r="NBH204" s="605"/>
      <c r="NBI204" s="605"/>
      <c r="NBJ204" s="605"/>
      <c r="NBK204" s="605"/>
      <c r="NBL204" s="605"/>
      <c r="NBM204" s="605"/>
      <c r="NBN204" s="605"/>
      <c r="NBO204" s="605"/>
      <c r="NBP204" s="605"/>
      <c r="NBQ204" s="605"/>
      <c r="NBR204" s="605"/>
      <c r="NBS204" s="605"/>
      <c r="NBT204" s="605"/>
      <c r="NBU204" s="605"/>
      <c r="NBV204" s="605"/>
      <c r="NBW204" s="605"/>
      <c r="NBX204" s="605"/>
      <c r="NBY204" s="605"/>
      <c r="NBZ204" s="605"/>
      <c r="NCA204" s="605"/>
      <c r="NCB204" s="605"/>
      <c r="NCC204" s="605"/>
      <c r="NCD204" s="605"/>
      <c r="NCE204" s="605"/>
      <c r="NCF204" s="605"/>
      <c r="NCG204" s="605"/>
      <c r="NCH204" s="605"/>
      <c r="NCI204" s="605"/>
      <c r="NCJ204" s="605"/>
      <c r="NCK204" s="605"/>
      <c r="NCL204" s="605"/>
      <c r="NCM204" s="605"/>
      <c r="NCN204" s="605"/>
      <c r="NCO204" s="605"/>
      <c r="NCP204" s="605"/>
      <c r="NCQ204" s="605"/>
      <c r="NCR204" s="605"/>
      <c r="NCS204" s="605"/>
      <c r="NCT204" s="605"/>
      <c r="NCU204" s="605"/>
      <c r="NCV204" s="605"/>
      <c r="NCW204" s="605"/>
      <c r="NCX204" s="605"/>
      <c r="NCY204" s="605"/>
      <c r="NCZ204" s="605"/>
      <c r="NDA204" s="605"/>
      <c r="NDB204" s="605"/>
      <c r="NDC204" s="605"/>
      <c r="NDD204" s="605"/>
      <c r="NDE204" s="605"/>
      <c r="NDF204" s="605"/>
      <c r="NDG204" s="605"/>
      <c r="NDH204" s="605"/>
      <c r="NDI204" s="605"/>
      <c r="NDJ204" s="605"/>
      <c r="NDK204" s="605"/>
      <c r="NDL204" s="605"/>
      <c r="NDM204" s="605"/>
      <c r="NDN204" s="605"/>
      <c r="NDO204" s="605"/>
      <c r="NDP204" s="605"/>
      <c r="NDQ204" s="605"/>
      <c r="NDR204" s="605"/>
      <c r="NDS204" s="605"/>
      <c r="NDT204" s="605"/>
      <c r="NDU204" s="605"/>
      <c r="NDV204" s="605"/>
      <c r="NDW204" s="605"/>
      <c r="NDX204" s="605"/>
      <c r="NDY204" s="605"/>
      <c r="NDZ204" s="605"/>
      <c r="NEA204" s="605"/>
      <c r="NEB204" s="605"/>
      <c r="NEC204" s="605"/>
      <c r="NED204" s="605"/>
      <c r="NEE204" s="605"/>
      <c r="NEF204" s="605"/>
      <c r="NEG204" s="605"/>
      <c r="NEH204" s="605"/>
      <c r="NEI204" s="605"/>
      <c r="NEJ204" s="605"/>
      <c r="NEK204" s="605"/>
      <c r="NEL204" s="605"/>
      <c r="NEM204" s="605"/>
      <c r="NEN204" s="605"/>
      <c r="NEO204" s="605"/>
      <c r="NEP204" s="605"/>
      <c r="NEQ204" s="605"/>
      <c r="NER204" s="605"/>
      <c r="NES204" s="605"/>
      <c r="NET204" s="605"/>
      <c r="NEU204" s="605"/>
      <c r="NEV204" s="605"/>
      <c r="NEW204" s="605"/>
      <c r="NEX204" s="605"/>
      <c r="NEY204" s="605"/>
      <c r="NEZ204" s="605"/>
      <c r="NFA204" s="605"/>
      <c r="NFB204" s="605"/>
      <c r="NFC204" s="605"/>
      <c r="NFD204" s="605"/>
      <c r="NFE204" s="605"/>
      <c r="NFF204" s="605"/>
      <c r="NFG204" s="605"/>
      <c r="NFH204" s="605"/>
      <c r="NFI204" s="605"/>
      <c r="NFJ204" s="605"/>
      <c r="NFK204" s="605"/>
      <c r="NFL204" s="605"/>
      <c r="NFM204" s="605"/>
      <c r="NFN204" s="605"/>
      <c r="NFO204" s="605"/>
      <c r="NFP204" s="605"/>
      <c r="NFQ204" s="605"/>
      <c r="NFR204" s="605"/>
      <c r="NFS204" s="605"/>
      <c r="NFT204" s="605"/>
      <c r="NFU204" s="605"/>
      <c r="NFV204" s="605"/>
      <c r="NFW204" s="605"/>
      <c r="NFX204" s="605"/>
      <c r="NFY204" s="605"/>
      <c r="NFZ204" s="605"/>
      <c r="NGA204" s="605"/>
      <c r="NGB204" s="605"/>
      <c r="NGC204" s="605"/>
      <c r="NGD204" s="605"/>
      <c r="NGE204" s="605"/>
      <c r="NGF204" s="605"/>
      <c r="NGG204" s="605"/>
      <c r="NGH204" s="605"/>
      <c r="NGI204" s="605"/>
      <c r="NGJ204" s="605"/>
      <c r="NGK204" s="605"/>
      <c r="NGL204" s="605"/>
      <c r="NGM204" s="605"/>
      <c r="NGN204" s="605"/>
      <c r="NGO204" s="605"/>
      <c r="NGP204" s="605"/>
      <c r="NGQ204" s="605"/>
      <c r="NGR204" s="605"/>
      <c r="NGS204" s="605"/>
      <c r="NGT204" s="605"/>
      <c r="NGU204" s="605"/>
      <c r="NGV204" s="605"/>
      <c r="NGW204" s="605"/>
      <c r="NGX204" s="605"/>
      <c r="NGY204" s="605"/>
      <c r="NGZ204" s="605"/>
      <c r="NHA204" s="605"/>
      <c r="NHB204" s="605"/>
      <c r="NHC204" s="605"/>
      <c r="NHD204" s="605"/>
      <c r="NHE204" s="605"/>
      <c r="NHF204" s="605"/>
      <c r="NHG204" s="605"/>
      <c r="NHH204" s="605"/>
      <c r="NHI204" s="605"/>
      <c r="NHJ204" s="605"/>
      <c r="NHK204" s="605"/>
      <c r="NHL204" s="605"/>
      <c r="NHM204" s="605"/>
      <c r="NHN204" s="605"/>
      <c r="NHO204" s="605"/>
      <c r="NHP204" s="605"/>
      <c r="NHQ204" s="605"/>
      <c r="NHR204" s="605"/>
      <c r="NHS204" s="605"/>
      <c r="NHT204" s="605"/>
      <c r="NHU204" s="605"/>
      <c r="NHV204" s="605"/>
      <c r="NHW204" s="605"/>
      <c r="NHX204" s="605"/>
      <c r="NHY204" s="605"/>
      <c r="NHZ204" s="605"/>
      <c r="NIA204" s="605"/>
      <c r="NIB204" s="605"/>
      <c r="NIC204" s="605"/>
      <c r="NID204" s="605"/>
      <c r="NIE204" s="605"/>
      <c r="NIF204" s="605"/>
      <c r="NIG204" s="605"/>
      <c r="NIH204" s="605"/>
      <c r="NII204" s="605"/>
      <c r="NIJ204" s="605"/>
      <c r="NIK204" s="605"/>
      <c r="NIL204" s="605"/>
      <c r="NIM204" s="605"/>
      <c r="NIN204" s="605"/>
      <c r="NIO204" s="605"/>
      <c r="NIP204" s="605"/>
      <c r="NIQ204" s="605"/>
      <c r="NIR204" s="605"/>
      <c r="NIS204" s="605"/>
      <c r="NIT204" s="605"/>
      <c r="NIU204" s="605"/>
      <c r="NIV204" s="605"/>
      <c r="NIW204" s="605"/>
      <c r="NIX204" s="605"/>
      <c r="NIY204" s="605"/>
      <c r="NIZ204" s="605"/>
      <c r="NJA204" s="605"/>
      <c r="NJB204" s="605"/>
      <c r="NJC204" s="605"/>
      <c r="NJD204" s="605"/>
      <c r="NJE204" s="605"/>
      <c r="NJF204" s="605"/>
      <c r="NJG204" s="605"/>
      <c r="NJH204" s="605"/>
      <c r="NJI204" s="605"/>
      <c r="NJJ204" s="605"/>
      <c r="NJK204" s="605"/>
      <c r="NJL204" s="605"/>
      <c r="NJM204" s="605"/>
      <c r="NJN204" s="605"/>
      <c r="NJO204" s="605"/>
      <c r="NJP204" s="605"/>
      <c r="NJQ204" s="605"/>
      <c r="NJR204" s="605"/>
      <c r="NJS204" s="605"/>
      <c r="NJT204" s="605"/>
      <c r="NJU204" s="605"/>
      <c r="NJV204" s="605"/>
      <c r="NJW204" s="605"/>
      <c r="NJX204" s="605"/>
      <c r="NJY204" s="605"/>
      <c r="NJZ204" s="605"/>
      <c r="NKA204" s="605"/>
      <c r="NKB204" s="605"/>
      <c r="NKC204" s="605"/>
      <c r="NKD204" s="605"/>
      <c r="NKE204" s="605"/>
      <c r="NKF204" s="605"/>
      <c r="NKG204" s="605"/>
      <c r="NKH204" s="605"/>
      <c r="NKI204" s="605"/>
      <c r="NKJ204" s="605"/>
      <c r="NKK204" s="605"/>
      <c r="NKL204" s="605"/>
      <c r="NKM204" s="605"/>
      <c r="NKN204" s="605"/>
      <c r="NKO204" s="605"/>
      <c r="NKP204" s="605"/>
      <c r="NKQ204" s="605"/>
      <c r="NKR204" s="605"/>
      <c r="NKS204" s="605"/>
      <c r="NKT204" s="605"/>
      <c r="NKU204" s="605"/>
      <c r="NKV204" s="605"/>
      <c r="NKW204" s="605"/>
      <c r="NKX204" s="605"/>
      <c r="NKY204" s="605"/>
      <c r="NKZ204" s="605"/>
      <c r="NLA204" s="605"/>
      <c r="NLB204" s="605"/>
      <c r="NLC204" s="605"/>
      <c r="NLD204" s="605"/>
      <c r="NLE204" s="605"/>
      <c r="NLF204" s="605"/>
      <c r="NLG204" s="605"/>
      <c r="NLH204" s="605"/>
      <c r="NLI204" s="605"/>
      <c r="NLJ204" s="605"/>
      <c r="NLK204" s="605"/>
      <c r="NLL204" s="605"/>
      <c r="NLM204" s="605"/>
      <c r="NLN204" s="605"/>
      <c r="NLO204" s="605"/>
      <c r="NLP204" s="605"/>
      <c r="NLQ204" s="605"/>
      <c r="NLR204" s="605"/>
      <c r="NLS204" s="605"/>
      <c r="NLT204" s="605"/>
      <c r="NLU204" s="605"/>
      <c r="NLV204" s="605"/>
      <c r="NLW204" s="605"/>
      <c r="NLX204" s="605"/>
      <c r="NLY204" s="605"/>
      <c r="NLZ204" s="605"/>
      <c r="NMA204" s="605"/>
      <c r="NMB204" s="605"/>
      <c r="NMC204" s="605"/>
      <c r="NMD204" s="605"/>
      <c r="NME204" s="605"/>
      <c r="NMF204" s="605"/>
      <c r="NMG204" s="605"/>
      <c r="NMH204" s="605"/>
      <c r="NMI204" s="605"/>
      <c r="NMJ204" s="605"/>
      <c r="NMK204" s="605"/>
      <c r="NML204" s="605"/>
      <c r="NMM204" s="605"/>
      <c r="NMN204" s="605"/>
      <c r="NMO204" s="605"/>
      <c r="NMP204" s="605"/>
      <c r="NMQ204" s="605"/>
      <c r="NMR204" s="605"/>
      <c r="NMS204" s="605"/>
      <c r="NMT204" s="605"/>
      <c r="NMU204" s="605"/>
      <c r="NMV204" s="605"/>
      <c r="NMW204" s="605"/>
      <c r="NMX204" s="605"/>
      <c r="NMY204" s="605"/>
      <c r="NMZ204" s="605"/>
      <c r="NNA204" s="605"/>
      <c r="NNB204" s="605"/>
      <c r="NNC204" s="605"/>
      <c r="NND204" s="605"/>
      <c r="NNE204" s="605"/>
      <c r="NNF204" s="605"/>
      <c r="NNG204" s="605"/>
      <c r="NNH204" s="605"/>
      <c r="NNI204" s="605"/>
      <c r="NNJ204" s="605"/>
      <c r="NNK204" s="605"/>
      <c r="NNL204" s="605"/>
      <c r="NNM204" s="605"/>
      <c r="NNN204" s="605"/>
      <c r="NNO204" s="605"/>
      <c r="NNP204" s="605"/>
      <c r="NNQ204" s="605"/>
      <c r="NNR204" s="605"/>
      <c r="NNS204" s="605"/>
      <c r="NNT204" s="605"/>
      <c r="NNU204" s="605"/>
      <c r="NNV204" s="605"/>
      <c r="NNW204" s="605"/>
      <c r="NNX204" s="605"/>
      <c r="NNY204" s="605"/>
      <c r="NNZ204" s="605"/>
      <c r="NOA204" s="605"/>
      <c r="NOB204" s="605"/>
      <c r="NOC204" s="605"/>
      <c r="NOD204" s="605"/>
      <c r="NOE204" s="605"/>
      <c r="NOF204" s="605"/>
      <c r="NOG204" s="605"/>
      <c r="NOH204" s="605"/>
      <c r="NOI204" s="605"/>
      <c r="NOJ204" s="605"/>
      <c r="NOK204" s="605"/>
      <c r="NOL204" s="605"/>
      <c r="NOM204" s="605"/>
      <c r="NON204" s="605"/>
      <c r="NOO204" s="605"/>
      <c r="NOP204" s="605"/>
      <c r="NOQ204" s="605"/>
      <c r="NOR204" s="605"/>
      <c r="NOS204" s="605"/>
      <c r="NOT204" s="605"/>
      <c r="NOU204" s="605"/>
      <c r="NOV204" s="605"/>
      <c r="NOW204" s="605"/>
      <c r="NOX204" s="605"/>
      <c r="NOY204" s="605"/>
      <c r="NOZ204" s="605"/>
      <c r="NPA204" s="605"/>
      <c r="NPB204" s="605"/>
      <c r="NPC204" s="605"/>
      <c r="NPD204" s="605"/>
      <c r="NPE204" s="605"/>
      <c r="NPF204" s="605"/>
      <c r="NPG204" s="605"/>
      <c r="NPH204" s="605"/>
      <c r="NPI204" s="605"/>
      <c r="NPJ204" s="605"/>
      <c r="NPK204" s="605"/>
      <c r="NPL204" s="605"/>
      <c r="NPM204" s="605"/>
      <c r="NPN204" s="605"/>
      <c r="NPO204" s="605"/>
      <c r="NPP204" s="605"/>
      <c r="NPQ204" s="605"/>
      <c r="NPR204" s="605"/>
      <c r="NPS204" s="605"/>
      <c r="NPT204" s="605"/>
      <c r="NPU204" s="605"/>
      <c r="NPV204" s="605"/>
      <c r="NPW204" s="605"/>
      <c r="NPX204" s="605"/>
      <c r="NPY204" s="605"/>
      <c r="NPZ204" s="605"/>
      <c r="NQA204" s="605"/>
      <c r="NQB204" s="605"/>
      <c r="NQC204" s="605"/>
      <c r="NQD204" s="605"/>
      <c r="NQE204" s="605"/>
      <c r="NQF204" s="605"/>
      <c r="NQG204" s="605"/>
      <c r="NQH204" s="605"/>
      <c r="NQI204" s="605"/>
      <c r="NQJ204" s="605"/>
      <c r="NQK204" s="605"/>
      <c r="NQL204" s="605"/>
      <c r="NQM204" s="605"/>
      <c r="NQN204" s="605"/>
      <c r="NQO204" s="605"/>
      <c r="NQP204" s="605"/>
      <c r="NQQ204" s="605"/>
      <c r="NQR204" s="605"/>
      <c r="NQS204" s="605"/>
      <c r="NQT204" s="605"/>
      <c r="NQU204" s="605"/>
      <c r="NQV204" s="605"/>
      <c r="NQW204" s="605"/>
      <c r="NQX204" s="605"/>
      <c r="NQY204" s="605"/>
      <c r="NQZ204" s="605"/>
      <c r="NRA204" s="605"/>
      <c r="NRB204" s="605"/>
      <c r="NRC204" s="605"/>
      <c r="NRD204" s="605"/>
      <c r="NRE204" s="605"/>
      <c r="NRF204" s="605"/>
      <c r="NRG204" s="605"/>
      <c r="NRH204" s="605"/>
      <c r="NRI204" s="605"/>
      <c r="NRJ204" s="605"/>
      <c r="NRK204" s="605"/>
      <c r="NRL204" s="605"/>
      <c r="NRM204" s="605"/>
      <c r="NRN204" s="605"/>
      <c r="NRO204" s="605"/>
      <c r="NRP204" s="605"/>
      <c r="NRQ204" s="605"/>
      <c r="NRR204" s="605"/>
      <c r="NRS204" s="605"/>
      <c r="NRT204" s="605"/>
      <c r="NRU204" s="605"/>
      <c r="NRV204" s="605"/>
      <c r="NRW204" s="605"/>
      <c r="NRX204" s="605"/>
      <c r="NRY204" s="605"/>
      <c r="NRZ204" s="605"/>
      <c r="NSA204" s="605"/>
      <c r="NSB204" s="605"/>
      <c r="NSC204" s="605"/>
      <c r="NSD204" s="605"/>
      <c r="NSE204" s="605"/>
      <c r="NSF204" s="605"/>
      <c r="NSG204" s="605"/>
      <c r="NSH204" s="605"/>
      <c r="NSI204" s="605"/>
      <c r="NSJ204" s="605"/>
      <c r="NSK204" s="605"/>
      <c r="NSL204" s="605"/>
      <c r="NSM204" s="605"/>
      <c r="NSN204" s="605"/>
      <c r="NSO204" s="605"/>
      <c r="NSP204" s="605"/>
      <c r="NSQ204" s="605"/>
      <c r="NSR204" s="605"/>
      <c r="NSS204" s="605"/>
      <c r="NST204" s="605"/>
      <c r="NSU204" s="605"/>
      <c r="NSV204" s="605"/>
      <c r="NSW204" s="605"/>
      <c r="NSX204" s="605"/>
      <c r="NSY204" s="605"/>
      <c r="NSZ204" s="605"/>
      <c r="NTA204" s="605"/>
      <c r="NTB204" s="605"/>
      <c r="NTC204" s="605"/>
      <c r="NTD204" s="605"/>
      <c r="NTE204" s="605"/>
      <c r="NTF204" s="605"/>
      <c r="NTG204" s="605"/>
      <c r="NTH204" s="605"/>
      <c r="NTI204" s="605"/>
      <c r="NTJ204" s="605"/>
      <c r="NTK204" s="605"/>
      <c r="NTL204" s="605"/>
      <c r="NTM204" s="605"/>
      <c r="NTN204" s="605"/>
      <c r="NTO204" s="605"/>
      <c r="NTP204" s="605"/>
      <c r="NTQ204" s="605"/>
      <c r="NTR204" s="605"/>
      <c r="NTS204" s="605"/>
      <c r="NTT204" s="605"/>
      <c r="NTU204" s="605"/>
      <c r="NTV204" s="605"/>
      <c r="NTW204" s="605"/>
      <c r="NTX204" s="605"/>
      <c r="NTY204" s="605"/>
      <c r="NTZ204" s="605"/>
      <c r="NUA204" s="605"/>
      <c r="NUB204" s="605"/>
      <c r="NUC204" s="605"/>
      <c r="NUD204" s="605"/>
      <c r="NUE204" s="605"/>
      <c r="NUF204" s="605"/>
      <c r="NUG204" s="605"/>
      <c r="NUH204" s="605"/>
      <c r="NUI204" s="605"/>
      <c r="NUJ204" s="605"/>
      <c r="NUK204" s="605"/>
      <c r="NUL204" s="605"/>
      <c r="NUM204" s="605"/>
      <c r="NUN204" s="605"/>
      <c r="NUO204" s="605"/>
      <c r="NUP204" s="605"/>
      <c r="NUQ204" s="605"/>
      <c r="NUR204" s="605"/>
      <c r="NUS204" s="605"/>
      <c r="NUT204" s="605"/>
      <c r="NUU204" s="605"/>
      <c r="NUV204" s="605"/>
      <c r="NUW204" s="605"/>
      <c r="NUX204" s="605"/>
      <c r="NUY204" s="605"/>
      <c r="NUZ204" s="605"/>
      <c r="NVA204" s="605"/>
      <c r="NVB204" s="605"/>
      <c r="NVC204" s="605"/>
      <c r="NVD204" s="605"/>
      <c r="NVE204" s="605"/>
      <c r="NVF204" s="605"/>
      <c r="NVG204" s="605"/>
      <c r="NVH204" s="605"/>
      <c r="NVI204" s="605"/>
      <c r="NVJ204" s="605"/>
      <c r="NVK204" s="605"/>
      <c r="NVL204" s="605"/>
      <c r="NVM204" s="605"/>
      <c r="NVN204" s="605"/>
      <c r="NVO204" s="605"/>
      <c r="NVP204" s="605"/>
      <c r="NVQ204" s="605"/>
      <c r="NVR204" s="605"/>
      <c r="NVS204" s="605"/>
      <c r="NVT204" s="605"/>
      <c r="NVU204" s="605"/>
      <c r="NVV204" s="605"/>
      <c r="NVW204" s="605"/>
      <c r="NVX204" s="605"/>
      <c r="NVY204" s="605"/>
      <c r="NVZ204" s="605"/>
      <c r="NWA204" s="605"/>
      <c r="NWB204" s="605"/>
      <c r="NWC204" s="605"/>
      <c r="NWD204" s="605"/>
      <c r="NWE204" s="605"/>
      <c r="NWF204" s="605"/>
      <c r="NWG204" s="605"/>
      <c r="NWH204" s="605"/>
      <c r="NWI204" s="605"/>
      <c r="NWJ204" s="605"/>
      <c r="NWK204" s="605"/>
      <c r="NWL204" s="605"/>
      <c r="NWM204" s="605"/>
      <c r="NWN204" s="605"/>
      <c r="NWO204" s="605"/>
      <c r="NWP204" s="605"/>
      <c r="NWQ204" s="605"/>
      <c r="NWR204" s="605"/>
      <c r="NWS204" s="605"/>
      <c r="NWT204" s="605"/>
      <c r="NWU204" s="605"/>
      <c r="NWV204" s="605"/>
      <c r="NWW204" s="605"/>
      <c r="NWX204" s="605"/>
      <c r="NWY204" s="605"/>
      <c r="NWZ204" s="605"/>
      <c r="NXA204" s="605"/>
      <c r="NXB204" s="605"/>
      <c r="NXC204" s="605"/>
      <c r="NXD204" s="605"/>
      <c r="NXE204" s="605"/>
      <c r="NXF204" s="605"/>
      <c r="NXG204" s="605"/>
      <c r="NXH204" s="605"/>
      <c r="NXI204" s="605"/>
      <c r="NXJ204" s="605"/>
      <c r="NXK204" s="605"/>
      <c r="NXL204" s="605"/>
      <c r="NXM204" s="605"/>
      <c r="NXN204" s="605"/>
      <c r="NXO204" s="605"/>
      <c r="NXP204" s="605"/>
      <c r="NXQ204" s="605"/>
      <c r="NXR204" s="605"/>
      <c r="NXS204" s="605"/>
      <c r="NXT204" s="605"/>
      <c r="NXU204" s="605"/>
      <c r="NXV204" s="605"/>
      <c r="NXW204" s="605"/>
      <c r="NXX204" s="605"/>
      <c r="NXY204" s="605"/>
      <c r="NXZ204" s="605"/>
      <c r="NYA204" s="605"/>
      <c r="NYB204" s="605"/>
      <c r="NYC204" s="605"/>
      <c r="NYD204" s="605"/>
      <c r="NYE204" s="605"/>
      <c r="NYF204" s="605"/>
      <c r="NYG204" s="605"/>
      <c r="NYH204" s="605"/>
      <c r="NYI204" s="605"/>
      <c r="NYJ204" s="605"/>
      <c r="NYK204" s="605"/>
      <c r="NYL204" s="605"/>
      <c r="NYM204" s="605"/>
      <c r="NYN204" s="605"/>
      <c r="NYO204" s="605"/>
      <c r="NYP204" s="605"/>
      <c r="NYQ204" s="605"/>
      <c r="NYR204" s="605"/>
      <c r="NYS204" s="605"/>
      <c r="NYT204" s="605"/>
      <c r="NYU204" s="605"/>
      <c r="NYV204" s="605"/>
      <c r="NYW204" s="605"/>
      <c r="NYX204" s="605"/>
      <c r="NYY204" s="605"/>
      <c r="NYZ204" s="605"/>
      <c r="NZA204" s="605"/>
      <c r="NZB204" s="605"/>
      <c r="NZC204" s="605"/>
      <c r="NZD204" s="605"/>
      <c r="NZE204" s="605"/>
      <c r="NZF204" s="605"/>
      <c r="NZG204" s="605"/>
      <c r="NZH204" s="605"/>
      <c r="NZI204" s="605"/>
      <c r="NZJ204" s="605"/>
      <c r="NZK204" s="605"/>
      <c r="NZL204" s="605"/>
      <c r="NZM204" s="605"/>
      <c r="NZN204" s="605"/>
      <c r="NZO204" s="605"/>
      <c r="NZP204" s="605"/>
      <c r="NZQ204" s="605"/>
      <c r="NZR204" s="605"/>
      <c r="NZS204" s="605"/>
      <c r="NZT204" s="605"/>
      <c r="NZU204" s="605"/>
      <c r="NZV204" s="605"/>
      <c r="NZW204" s="605"/>
      <c r="NZX204" s="605"/>
      <c r="NZY204" s="605"/>
      <c r="NZZ204" s="605"/>
      <c r="OAA204" s="605"/>
      <c r="OAB204" s="605"/>
      <c r="OAC204" s="605"/>
      <c r="OAD204" s="605"/>
      <c r="OAE204" s="605"/>
      <c r="OAF204" s="605"/>
      <c r="OAG204" s="605"/>
      <c r="OAH204" s="605"/>
      <c r="OAI204" s="605"/>
      <c r="OAJ204" s="605"/>
      <c r="OAK204" s="605"/>
      <c r="OAL204" s="605"/>
      <c r="OAM204" s="605"/>
      <c r="OAN204" s="605"/>
      <c r="OAO204" s="605"/>
      <c r="OAP204" s="605"/>
      <c r="OAQ204" s="605"/>
      <c r="OAR204" s="605"/>
      <c r="OAS204" s="605"/>
      <c r="OAT204" s="605"/>
      <c r="OAU204" s="605"/>
      <c r="OAV204" s="605"/>
      <c r="OAW204" s="605"/>
      <c r="OAX204" s="605"/>
      <c r="OAY204" s="605"/>
      <c r="OAZ204" s="605"/>
      <c r="OBA204" s="605"/>
      <c r="OBB204" s="605"/>
      <c r="OBC204" s="605"/>
      <c r="OBD204" s="605"/>
      <c r="OBE204" s="605"/>
      <c r="OBF204" s="605"/>
      <c r="OBG204" s="605"/>
      <c r="OBH204" s="605"/>
      <c r="OBI204" s="605"/>
      <c r="OBJ204" s="605"/>
      <c r="OBK204" s="605"/>
      <c r="OBL204" s="605"/>
      <c r="OBM204" s="605"/>
      <c r="OBN204" s="605"/>
      <c r="OBO204" s="605"/>
      <c r="OBP204" s="605"/>
      <c r="OBQ204" s="605"/>
      <c r="OBR204" s="605"/>
      <c r="OBS204" s="605"/>
      <c r="OBT204" s="605"/>
      <c r="OBU204" s="605"/>
      <c r="OBV204" s="605"/>
      <c r="OBW204" s="605"/>
      <c r="OBX204" s="605"/>
      <c r="OBY204" s="605"/>
      <c r="OBZ204" s="605"/>
      <c r="OCA204" s="605"/>
      <c r="OCB204" s="605"/>
      <c r="OCC204" s="605"/>
      <c r="OCD204" s="605"/>
      <c r="OCE204" s="605"/>
      <c r="OCF204" s="605"/>
      <c r="OCG204" s="605"/>
      <c r="OCH204" s="605"/>
      <c r="OCI204" s="605"/>
      <c r="OCJ204" s="605"/>
      <c r="OCK204" s="605"/>
      <c r="OCL204" s="605"/>
      <c r="OCM204" s="605"/>
      <c r="OCN204" s="605"/>
      <c r="OCO204" s="605"/>
      <c r="OCP204" s="605"/>
      <c r="OCQ204" s="605"/>
      <c r="OCR204" s="605"/>
      <c r="OCS204" s="605"/>
      <c r="OCT204" s="605"/>
      <c r="OCU204" s="605"/>
      <c r="OCV204" s="605"/>
      <c r="OCW204" s="605"/>
      <c r="OCX204" s="605"/>
      <c r="OCY204" s="605"/>
      <c r="OCZ204" s="605"/>
      <c r="ODA204" s="605"/>
      <c r="ODB204" s="605"/>
      <c r="ODC204" s="605"/>
      <c r="ODD204" s="605"/>
      <c r="ODE204" s="605"/>
      <c r="ODF204" s="605"/>
      <c r="ODG204" s="605"/>
      <c r="ODH204" s="605"/>
      <c r="ODI204" s="605"/>
      <c r="ODJ204" s="605"/>
      <c r="ODK204" s="605"/>
      <c r="ODL204" s="605"/>
      <c r="ODM204" s="605"/>
      <c r="ODN204" s="605"/>
      <c r="ODO204" s="605"/>
      <c r="ODP204" s="605"/>
      <c r="ODQ204" s="605"/>
      <c r="ODR204" s="605"/>
      <c r="ODS204" s="605"/>
      <c r="ODT204" s="605"/>
      <c r="ODU204" s="605"/>
      <c r="ODV204" s="605"/>
      <c r="ODW204" s="605"/>
      <c r="ODX204" s="605"/>
      <c r="ODY204" s="605"/>
      <c r="ODZ204" s="605"/>
      <c r="OEA204" s="605"/>
      <c r="OEB204" s="605"/>
      <c r="OEC204" s="605"/>
      <c r="OED204" s="605"/>
      <c r="OEE204" s="605"/>
      <c r="OEF204" s="605"/>
      <c r="OEG204" s="605"/>
      <c r="OEH204" s="605"/>
      <c r="OEI204" s="605"/>
      <c r="OEJ204" s="605"/>
      <c r="OEK204" s="605"/>
      <c r="OEL204" s="605"/>
      <c r="OEM204" s="605"/>
      <c r="OEN204" s="605"/>
      <c r="OEO204" s="605"/>
      <c r="OEP204" s="605"/>
      <c r="OEQ204" s="605"/>
      <c r="OER204" s="605"/>
      <c r="OES204" s="605"/>
      <c r="OET204" s="605"/>
      <c r="OEU204" s="605"/>
      <c r="OEV204" s="605"/>
      <c r="OEW204" s="605"/>
      <c r="OEX204" s="605"/>
      <c r="OEY204" s="605"/>
      <c r="OEZ204" s="605"/>
      <c r="OFA204" s="605"/>
      <c r="OFB204" s="605"/>
      <c r="OFC204" s="605"/>
      <c r="OFD204" s="605"/>
      <c r="OFE204" s="605"/>
      <c r="OFF204" s="605"/>
      <c r="OFG204" s="605"/>
      <c r="OFH204" s="605"/>
      <c r="OFI204" s="605"/>
      <c r="OFJ204" s="605"/>
      <c r="OFK204" s="605"/>
      <c r="OFL204" s="605"/>
      <c r="OFM204" s="605"/>
      <c r="OFN204" s="605"/>
      <c r="OFO204" s="605"/>
      <c r="OFP204" s="605"/>
      <c r="OFQ204" s="605"/>
      <c r="OFR204" s="605"/>
      <c r="OFS204" s="605"/>
      <c r="OFT204" s="605"/>
      <c r="OFU204" s="605"/>
      <c r="OFV204" s="605"/>
      <c r="OFW204" s="605"/>
      <c r="OFX204" s="605"/>
      <c r="OFY204" s="605"/>
      <c r="OFZ204" s="605"/>
      <c r="OGA204" s="605"/>
      <c r="OGB204" s="605"/>
      <c r="OGC204" s="605"/>
      <c r="OGD204" s="605"/>
      <c r="OGE204" s="605"/>
      <c r="OGF204" s="605"/>
      <c r="OGG204" s="605"/>
      <c r="OGH204" s="605"/>
      <c r="OGI204" s="605"/>
      <c r="OGJ204" s="605"/>
      <c r="OGK204" s="605"/>
      <c r="OGL204" s="605"/>
      <c r="OGM204" s="605"/>
      <c r="OGN204" s="605"/>
      <c r="OGO204" s="605"/>
      <c r="OGP204" s="605"/>
      <c r="OGQ204" s="605"/>
      <c r="OGR204" s="605"/>
      <c r="OGS204" s="605"/>
      <c r="OGT204" s="605"/>
      <c r="OGU204" s="605"/>
      <c r="OGV204" s="605"/>
      <c r="OGW204" s="605"/>
      <c r="OGX204" s="605"/>
      <c r="OGY204" s="605"/>
      <c r="OGZ204" s="605"/>
      <c r="OHA204" s="605"/>
      <c r="OHB204" s="605"/>
      <c r="OHC204" s="605"/>
      <c r="OHD204" s="605"/>
      <c r="OHE204" s="605"/>
      <c r="OHF204" s="605"/>
      <c r="OHG204" s="605"/>
      <c r="OHH204" s="605"/>
      <c r="OHI204" s="605"/>
      <c r="OHJ204" s="605"/>
      <c r="OHK204" s="605"/>
      <c r="OHL204" s="605"/>
      <c r="OHM204" s="605"/>
      <c r="OHN204" s="605"/>
      <c r="OHO204" s="605"/>
      <c r="OHP204" s="605"/>
      <c r="OHQ204" s="605"/>
      <c r="OHR204" s="605"/>
      <c r="OHS204" s="605"/>
      <c r="OHT204" s="605"/>
      <c r="OHU204" s="605"/>
      <c r="OHV204" s="605"/>
      <c r="OHW204" s="605"/>
      <c r="OHX204" s="605"/>
      <c r="OHY204" s="605"/>
      <c r="OHZ204" s="605"/>
      <c r="OIA204" s="605"/>
      <c r="OIB204" s="605"/>
      <c r="OIC204" s="605"/>
      <c r="OID204" s="605"/>
      <c r="OIE204" s="605"/>
      <c r="OIF204" s="605"/>
      <c r="OIG204" s="605"/>
      <c r="OIH204" s="605"/>
      <c r="OII204" s="605"/>
      <c r="OIJ204" s="605"/>
      <c r="OIK204" s="605"/>
      <c r="OIL204" s="605"/>
      <c r="OIM204" s="605"/>
      <c r="OIN204" s="605"/>
      <c r="OIO204" s="605"/>
      <c r="OIP204" s="605"/>
      <c r="OIQ204" s="605"/>
      <c r="OIR204" s="605"/>
      <c r="OIS204" s="605"/>
      <c r="OIT204" s="605"/>
      <c r="OIU204" s="605"/>
      <c r="OIV204" s="605"/>
      <c r="OIW204" s="605"/>
      <c r="OIX204" s="605"/>
      <c r="OIY204" s="605"/>
      <c r="OIZ204" s="605"/>
      <c r="OJA204" s="605"/>
      <c r="OJB204" s="605"/>
      <c r="OJC204" s="605"/>
      <c r="OJD204" s="605"/>
      <c r="OJE204" s="605"/>
      <c r="OJF204" s="605"/>
      <c r="OJG204" s="605"/>
      <c r="OJH204" s="605"/>
      <c r="OJI204" s="605"/>
      <c r="OJJ204" s="605"/>
      <c r="OJK204" s="605"/>
      <c r="OJL204" s="605"/>
      <c r="OJM204" s="605"/>
      <c r="OJN204" s="605"/>
      <c r="OJO204" s="605"/>
      <c r="OJP204" s="605"/>
      <c r="OJQ204" s="605"/>
      <c r="OJR204" s="605"/>
      <c r="OJS204" s="605"/>
      <c r="OJT204" s="605"/>
      <c r="OJU204" s="605"/>
      <c r="OJV204" s="605"/>
      <c r="OJW204" s="605"/>
      <c r="OJX204" s="605"/>
      <c r="OJY204" s="605"/>
      <c r="OJZ204" s="605"/>
      <c r="OKA204" s="605"/>
      <c r="OKB204" s="605"/>
      <c r="OKC204" s="605"/>
      <c r="OKD204" s="605"/>
      <c r="OKE204" s="605"/>
      <c r="OKF204" s="605"/>
      <c r="OKG204" s="605"/>
      <c r="OKH204" s="605"/>
      <c r="OKI204" s="605"/>
      <c r="OKJ204" s="605"/>
      <c r="OKK204" s="605"/>
      <c r="OKL204" s="605"/>
      <c r="OKM204" s="605"/>
      <c r="OKN204" s="605"/>
      <c r="OKO204" s="605"/>
      <c r="OKP204" s="605"/>
      <c r="OKQ204" s="605"/>
      <c r="OKR204" s="605"/>
      <c r="OKS204" s="605"/>
      <c r="OKT204" s="605"/>
      <c r="OKU204" s="605"/>
      <c r="OKV204" s="605"/>
      <c r="OKW204" s="605"/>
      <c r="OKX204" s="605"/>
      <c r="OKY204" s="605"/>
      <c r="OKZ204" s="605"/>
      <c r="OLA204" s="605"/>
      <c r="OLB204" s="605"/>
      <c r="OLC204" s="605"/>
      <c r="OLD204" s="605"/>
      <c r="OLE204" s="605"/>
      <c r="OLF204" s="605"/>
      <c r="OLG204" s="605"/>
      <c r="OLH204" s="605"/>
      <c r="OLI204" s="605"/>
      <c r="OLJ204" s="605"/>
      <c r="OLK204" s="605"/>
      <c r="OLL204" s="605"/>
      <c r="OLM204" s="605"/>
      <c r="OLN204" s="605"/>
      <c r="OLO204" s="605"/>
      <c r="OLP204" s="605"/>
      <c r="OLQ204" s="605"/>
      <c r="OLR204" s="605"/>
      <c r="OLS204" s="605"/>
      <c r="OLT204" s="605"/>
      <c r="OLU204" s="605"/>
      <c r="OLV204" s="605"/>
      <c r="OLW204" s="605"/>
      <c r="OLX204" s="605"/>
      <c r="OLY204" s="605"/>
      <c r="OLZ204" s="605"/>
      <c r="OMA204" s="605"/>
      <c r="OMB204" s="605"/>
      <c r="OMC204" s="605"/>
      <c r="OMD204" s="605"/>
      <c r="OME204" s="605"/>
      <c r="OMF204" s="605"/>
      <c r="OMG204" s="605"/>
      <c r="OMH204" s="605"/>
      <c r="OMI204" s="605"/>
      <c r="OMJ204" s="605"/>
      <c r="OMK204" s="605"/>
      <c r="OML204" s="605"/>
      <c r="OMM204" s="605"/>
      <c r="OMN204" s="605"/>
      <c r="OMO204" s="605"/>
      <c r="OMP204" s="605"/>
      <c r="OMQ204" s="605"/>
      <c r="OMR204" s="605"/>
      <c r="OMS204" s="605"/>
      <c r="OMT204" s="605"/>
      <c r="OMU204" s="605"/>
      <c r="OMV204" s="605"/>
      <c r="OMW204" s="605"/>
      <c r="OMX204" s="605"/>
      <c r="OMY204" s="605"/>
      <c r="OMZ204" s="605"/>
      <c r="ONA204" s="605"/>
      <c r="ONB204" s="605"/>
      <c r="ONC204" s="605"/>
      <c r="OND204" s="605"/>
      <c r="ONE204" s="605"/>
      <c r="ONF204" s="605"/>
      <c r="ONG204" s="605"/>
      <c r="ONH204" s="605"/>
      <c r="ONI204" s="605"/>
      <c r="ONJ204" s="605"/>
      <c r="ONK204" s="605"/>
      <c r="ONL204" s="605"/>
      <c r="ONM204" s="605"/>
      <c r="ONN204" s="605"/>
      <c r="ONO204" s="605"/>
      <c r="ONP204" s="605"/>
      <c r="ONQ204" s="605"/>
      <c r="ONR204" s="605"/>
      <c r="ONS204" s="605"/>
      <c r="ONT204" s="605"/>
      <c r="ONU204" s="605"/>
      <c r="ONV204" s="605"/>
      <c r="ONW204" s="605"/>
      <c r="ONX204" s="605"/>
      <c r="ONY204" s="605"/>
      <c r="ONZ204" s="605"/>
      <c r="OOA204" s="605"/>
      <c r="OOB204" s="605"/>
      <c r="OOC204" s="605"/>
      <c r="OOD204" s="605"/>
      <c r="OOE204" s="605"/>
      <c r="OOF204" s="605"/>
      <c r="OOG204" s="605"/>
      <c r="OOH204" s="605"/>
      <c r="OOI204" s="605"/>
      <c r="OOJ204" s="605"/>
      <c r="OOK204" s="605"/>
      <c r="OOL204" s="605"/>
      <c r="OOM204" s="605"/>
      <c r="OON204" s="605"/>
      <c r="OOO204" s="605"/>
      <c r="OOP204" s="605"/>
      <c r="OOQ204" s="605"/>
      <c r="OOR204" s="605"/>
      <c r="OOS204" s="605"/>
      <c r="OOT204" s="605"/>
      <c r="OOU204" s="605"/>
      <c r="OOV204" s="605"/>
      <c r="OOW204" s="605"/>
      <c r="OOX204" s="605"/>
      <c r="OOY204" s="605"/>
      <c r="OOZ204" s="605"/>
      <c r="OPA204" s="605"/>
      <c r="OPB204" s="605"/>
      <c r="OPC204" s="605"/>
      <c r="OPD204" s="605"/>
      <c r="OPE204" s="605"/>
      <c r="OPF204" s="605"/>
      <c r="OPG204" s="605"/>
      <c r="OPH204" s="605"/>
      <c r="OPI204" s="605"/>
      <c r="OPJ204" s="605"/>
      <c r="OPK204" s="605"/>
      <c r="OPL204" s="605"/>
      <c r="OPM204" s="605"/>
      <c r="OPN204" s="605"/>
      <c r="OPO204" s="605"/>
      <c r="OPP204" s="605"/>
      <c r="OPQ204" s="605"/>
      <c r="OPR204" s="605"/>
      <c r="OPS204" s="605"/>
      <c r="OPT204" s="605"/>
      <c r="OPU204" s="605"/>
      <c r="OPV204" s="605"/>
      <c r="OPW204" s="605"/>
      <c r="OPX204" s="605"/>
      <c r="OPY204" s="605"/>
      <c r="OPZ204" s="605"/>
      <c r="OQA204" s="605"/>
      <c r="OQB204" s="605"/>
      <c r="OQC204" s="605"/>
      <c r="OQD204" s="605"/>
      <c r="OQE204" s="605"/>
      <c r="OQF204" s="605"/>
      <c r="OQG204" s="605"/>
      <c r="OQH204" s="605"/>
      <c r="OQI204" s="605"/>
      <c r="OQJ204" s="605"/>
      <c r="OQK204" s="605"/>
      <c r="OQL204" s="605"/>
      <c r="OQM204" s="605"/>
      <c r="OQN204" s="605"/>
      <c r="OQO204" s="605"/>
      <c r="OQP204" s="605"/>
      <c r="OQQ204" s="605"/>
      <c r="OQR204" s="605"/>
      <c r="OQS204" s="605"/>
      <c r="OQT204" s="605"/>
      <c r="OQU204" s="605"/>
      <c r="OQV204" s="605"/>
      <c r="OQW204" s="605"/>
      <c r="OQX204" s="605"/>
      <c r="OQY204" s="605"/>
      <c r="OQZ204" s="605"/>
      <c r="ORA204" s="605"/>
      <c r="ORB204" s="605"/>
      <c r="ORC204" s="605"/>
      <c r="ORD204" s="605"/>
      <c r="ORE204" s="605"/>
      <c r="ORF204" s="605"/>
      <c r="ORG204" s="605"/>
      <c r="ORH204" s="605"/>
      <c r="ORI204" s="605"/>
      <c r="ORJ204" s="605"/>
      <c r="ORK204" s="605"/>
      <c r="ORL204" s="605"/>
      <c r="ORM204" s="605"/>
      <c r="ORN204" s="605"/>
      <c r="ORO204" s="605"/>
      <c r="ORP204" s="605"/>
      <c r="ORQ204" s="605"/>
      <c r="ORR204" s="605"/>
      <c r="ORS204" s="605"/>
      <c r="ORT204" s="605"/>
      <c r="ORU204" s="605"/>
      <c r="ORV204" s="605"/>
      <c r="ORW204" s="605"/>
      <c r="ORX204" s="605"/>
      <c r="ORY204" s="605"/>
      <c r="ORZ204" s="605"/>
      <c r="OSA204" s="605"/>
      <c r="OSB204" s="605"/>
      <c r="OSC204" s="605"/>
      <c r="OSD204" s="605"/>
      <c r="OSE204" s="605"/>
      <c r="OSF204" s="605"/>
      <c r="OSG204" s="605"/>
      <c r="OSH204" s="605"/>
      <c r="OSI204" s="605"/>
      <c r="OSJ204" s="605"/>
      <c r="OSK204" s="605"/>
      <c r="OSL204" s="605"/>
      <c r="OSM204" s="605"/>
      <c r="OSN204" s="605"/>
      <c r="OSO204" s="605"/>
      <c r="OSP204" s="605"/>
      <c r="OSQ204" s="605"/>
      <c r="OSR204" s="605"/>
      <c r="OSS204" s="605"/>
      <c r="OST204" s="605"/>
      <c r="OSU204" s="605"/>
      <c r="OSV204" s="605"/>
      <c r="OSW204" s="605"/>
      <c r="OSX204" s="605"/>
      <c r="OSY204" s="605"/>
      <c r="OSZ204" s="605"/>
      <c r="OTA204" s="605"/>
      <c r="OTB204" s="605"/>
      <c r="OTC204" s="605"/>
      <c r="OTD204" s="605"/>
      <c r="OTE204" s="605"/>
      <c r="OTF204" s="605"/>
      <c r="OTG204" s="605"/>
      <c r="OTH204" s="605"/>
      <c r="OTI204" s="605"/>
      <c r="OTJ204" s="605"/>
      <c r="OTK204" s="605"/>
      <c r="OTL204" s="605"/>
      <c r="OTM204" s="605"/>
      <c r="OTN204" s="605"/>
      <c r="OTO204" s="605"/>
      <c r="OTP204" s="605"/>
      <c r="OTQ204" s="605"/>
      <c r="OTR204" s="605"/>
      <c r="OTS204" s="605"/>
      <c r="OTT204" s="605"/>
      <c r="OTU204" s="605"/>
      <c r="OTV204" s="605"/>
      <c r="OTW204" s="605"/>
      <c r="OTX204" s="605"/>
      <c r="OTY204" s="605"/>
      <c r="OTZ204" s="605"/>
      <c r="OUA204" s="605"/>
      <c r="OUB204" s="605"/>
      <c r="OUC204" s="605"/>
      <c r="OUD204" s="605"/>
      <c r="OUE204" s="605"/>
      <c r="OUF204" s="605"/>
      <c r="OUG204" s="605"/>
      <c r="OUH204" s="605"/>
      <c r="OUI204" s="605"/>
      <c r="OUJ204" s="605"/>
      <c r="OUK204" s="605"/>
      <c r="OUL204" s="605"/>
      <c r="OUM204" s="605"/>
      <c r="OUN204" s="605"/>
      <c r="OUO204" s="605"/>
      <c r="OUP204" s="605"/>
      <c r="OUQ204" s="605"/>
      <c r="OUR204" s="605"/>
      <c r="OUS204" s="605"/>
      <c r="OUT204" s="605"/>
      <c r="OUU204" s="605"/>
      <c r="OUV204" s="605"/>
      <c r="OUW204" s="605"/>
      <c r="OUX204" s="605"/>
      <c r="OUY204" s="605"/>
      <c r="OUZ204" s="605"/>
      <c r="OVA204" s="605"/>
      <c r="OVB204" s="605"/>
      <c r="OVC204" s="605"/>
      <c r="OVD204" s="605"/>
      <c r="OVE204" s="605"/>
      <c r="OVF204" s="605"/>
      <c r="OVG204" s="605"/>
      <c r="OVH204" s="605"/>
      <c r="OVI204" s="605"/>
      <c r="OVJ204" s="605"/>
      <c r="OVK204" s="605"/>
      <c r="OVL204" s="605"/>
      <c r="OVM204" s="605"/>
      <c r="OVN204" s="605"/>
      <c r="OVO204" s="605"/>
      <c r="OVP204" s="605"/>
      <c r="OVQ204" s="605"/>
      <c r="OVR204" s="605"/>
      <c r="OVS204" s="605"/>
      <c r="OVT204" s="605"/>
      <c r="OVU204" s="605"/>
      <c r="OVV204" s="605"/>
      <c r="OVW204" s="605"/>
      <c r="OVX204" s="605"/>
      <c r="OVY204" s="605"/>
      <c r="OVZ204" s="605"/>
      <c r="OWA204" s="605"/>
      <c r="OWB204" s="605"/>
      <c r="OWC204" s="605"/>
      <c r="OWD204" s="605"/>
      <c r="OWE204" s="605"/>
      <c r="OWF204" s="605"/>
      <c r="OWG204" s="605"/>
      <c r="OWH204" s="605"/>
      <c r="OWI204" s="605"/>
      <c r="OWJ204" s="605"/>
      <c r="OWK204" s="605"/>
      <c r="OWL204" s="605"/>
      <c r="OWM204" s="605"/>
      <c r="OWN204" s="605"/>
      <c r="OWO204" s="605"/>
      <c r="OWP204" s="605"/>
      <c r="OWQ204" s="605"/>
      <c r="OWR204" s="605"/>
      <c r="OWS204" s="605"/>
      <c r="OWT204" s="605"/>
      <c r="OWU204" s="605"/>
      <c r="OWV204" s="605"/>
      <c r="OWW204" s="605"/>
      <c r="OWX204" s="605"/>
      <c r="OWY204" s="605"/>
      <c r="OWZ204" s="605"/>
      <c r="OXA204" s="605"/>
      <c r="OXB204" s="605"/>
      <c r="OXC204" s="605"/>
      <c r="OXD204" s="605"/>
      <c r="OXE204" s="605"/>
      <c r="OXF204" s="605"/>
      <c r="OXG204" s="605"/>
      <c r="OXH204" s="605"/>
      <c r="OXI204" s="605"/>
      <c r="OXJ204" s="605"/>
      <c r="OXK204" s="605"/>
      <c r="OXL204" s="605"/>
      <c r="OXM204" s="605"/>
      <c r="OXN204" s="605"/>
      <c r="OXO204" s="605"/>
      <c r="OXP204" s="605"/>
      <c r="OXQ204" s="605"/>
      <c r="OXR204" s="605"/>
      <c r="OXS204" s="605"/>
      <c r="OXT204" s="605"/>
      <c r="OXU204" s="605"/>
      <c r="OXV204" s="605"/>
      <c r="OXW204" s="605"/>
      <c r="OXX204" s="605"/>
      <c r="OXY204" s="605"/>
      <c r="OXZ204" s="605"/>
      <c r="OYA204" s="605"/>
      <c r="OYB204" s="605"/>
      <c r="OYC204" s="605"/>
      <c r="OYD204" s="605"/>
      <c r="OYE204" s="605"/>
      <c r="OYF204" s="605"/>
      <c r="OYG204" s="605"/>
      <c r="OYH204" s="605"/>
      <c r="OYI204" s="605"/>
      <c r="OYJ204" s="605"/>
      <c r="OYK204" s="605"/>
      <c r="OYL204" s="605"/>
      <c r="OYM204" s="605"/>
      <c r="OYN204" s="605"/>
      <c r="OYO204" s="605"/>
      <c r="OYP204" s="605"/>
      <c r="OYQ204" s="605"/>
      <c r="OYR204" s="605"/>
      <c r="OYS204" s="605"/>
      <c r="OYT204" s="605"/>
      <c r="OYU204" s="605"/>
      <c r="OYV204" s="605"/>
      <c r="OYW204" s="605"/>
      <c r="OYX204" s="605"/>
      <c r="OYY204" s="605"/>
      <c r="OYZ204" s="605"/>
      <c r="OZA204" s="605"/>
      <c r="OZB204" s="605"/>
      <c r="OZC204" s="605"/>
      <c r="OZD204" s="605"/>
      <c r="OZE204" s="605"/>
      <c r="OZF204" s="605"/>
      <c r="OZG204" s="605"/>
      <c r="OZH204" s="605"/>
      <c r="OZI204" s="605"/>
      <c r="OZJ204" s="605"/>
      <c r="OZK204" s="605"/>
      <c r="OZL204" s="605"/>
      <c r="OZM204" s="605"/>
      <c r="OZN204" s="605"/>
      <c r="OZO204" s="605"/>
      <c r="OZP204" s="605"/>
      <c r="OZQ204" s="605"/>
      <c r="OZR204" s="605"/>
      <c r="OZS204" s="605"/>
      <c r="OZT204" s="605"/>
      <c r="OZU204" s="605"/>
      <c r="OZV204" s="605"/>
      <c r="OZW204" s="605"/>
      <c r="OZX204" s="605"/>
      <c r="OZY204" s="605"/>
      <c r="OZZ204" s="605"/>
      <c r="PAA204" s="605"/>
      <c r="PAB204" s="605"/>
      <c r="PAC204" s="605"/>
      <c r="PAD204" s="605"/>
      <c r="PAE204" s="605"/>
      <c r="PAF204" s="605"/>
      <c r="PAG204" s="605"/>
      <c r="PAH204" s="605"/>
      <c r="PAI204" s="605"/>
      <c r="PAJ204" s="605"/>
      <c r="PAK204" s="605"/>
      <c r="PAL204" s="605"/>
      <c r="PAM204" s="605"/>
      <c r="PAN204" s="605"/>
      <c r="PAO204" s="605"/>
      <c r="PAP204" s="605"/>
      <c r="PAQ204" s="605"/>
      <c r="PAR204" s="605"/>
      <c r="PAS204" s="605"/>
      <c r="PAT204" s="605"/>
      <c r="PAU204" s="605"/>
      <c r="PAV204" s="605"/>
      <c r="PAW204" s="605"/>
      <c r="PAX204" s="605"/>
      <c r="PAY204" s="605"/>
      <c r="PAZ204" s="605"/>
      <c r="PBA204" s="605"/>
      <c r="PBB204" s="605"/>
      <c r="PBC204" s="605"/>
      <c r="PBD204" s="605"/>
      <c r="PBE204" s="605"/>
      <c r="PBF204" s="605"/>
      <c r="PBG204" s="605"/>
      <c r="PBH204" s="605"/>
      <c r="PBI204" s="605"/>
      <c r="PBJ204" s="605"/>
      <c r="PBK204" s="605"/>
      <c r="PBL204" s="605"/>
      <c r="PBM204" s="605"/>
      <c r="PBN204" s="605"/>
      <c r="PBO204" s="605"/>
      <c r="PBP204" s="605"/>
      <c r="PBQ204" s="605"/>
      <c r="PBR204" s="605"/>
      <c r="PBS204" s="605"/>
      <c r="PBT204" s="605"/>
      <c r="PBU204" s="605"/>
      <c r="PBV204" s="605"/>
      <c r="PBW204" s="605"/>
      <c r="PBX204" s="605"/>
      <c r="PBY204" s="605"/>
      <c r="PBZ204" s="605"/>
      <c r="PCA204" s="605"/>
      <c r="PCB204" s="605"/>
      <c r="PCC204" s="605"/>
      <c r="PCD204" s="605"/>
      <c r="PCE204" s="605"/>
      <c r="PCF204" s="605"/>
      <c r="PCG204" s="605"/>
      <c r="PCH204" s="605"/>
      <c r="PCI204" s="605"/>
      <c r="PCJ204" s="605"/>
      <c r="PCK204" s="605"/>
      <c r="PCL204" s="605"/>
      <c r="PCM204" s="605"/>
      <c r="PCN204" s="605"/>
      <c r="PCO204" s="605"/>
      <c r="PCP204" s="605"/>
      <c r="PCQ204" s="605"/>
      <c r="PCR204" s="605"/>
      <c r="PCS204" s="605"/>
      <c r="PCT204" s="605"/>
      <c r="PCU204" s="605"/>
      <c r="PCV204" s="605"/>
      <c r="PCW204" s="605"/>
      <c r="PCX204" s="605"/>
      <c r="PCY204" s="605"/>
      <c r="PCZ204" s="605"/>
      <c r="PDA204" s="605"/>
      <c r="PDB204" s="605"/>
      <c r="PDC204" s="605"/>
      <c r="PDD204" s="605"/>
      <c r="PDE204" s="605"/>
      <c r="PDF204" s="605"/>
      <c r="PDG204" s="605"/>
      <c r="PDH204" s="605"/>
      <c r="PDI204" s="605"/>
      <c r="PDJ204" s="605"/>
      <c r="PDK204" s="605"/>
      <c r="PDL204" s="605"/>
      <c r="PDM204" s="605"/>
      <c r="PDN204" s="605"/>
      <c r="PDO204" s="605"/>
      <c r="PDP204" s="605"/>
      <c r="PDQ204" s="605"/>
      <c r="PDR204" s="605"/>
      <c r="PDS204" s="605"/>
      <c r="PDT204" s="605"/>
      <c r="PDU204" s="605"/>
      <c r="PDV204" s="605"/>
      <c r="PDW204" s="605"/>
      <c r="PDX204" s="605"/>
      <c r="PDY204" s="605"/>
      <c r="PDZ204" s="605"/>
      <c r="PEA204" s="605"/>
      <c r="PEB204" s="605"/>
      <c r="PEC204" s="605"/>
      <c r="PED204" s="605"/>
      <c r="PEE204" s="605"/>
      <c r="PEF204" s="605"/>
      <c r="PEG204" s="605"/>
      <c r="PEH204" s="605"/>
      <c r="PEI204" s="605"/>
      <c r="PEJ204" s="605"/>
      <c r="PEK204" s="605"/>
      <c r="PEL204" s="605"/>
      <c r="PEM204" s="605"/>
      <c r="PEN204" s="605"/>
      <c r="PEO204" s="605"/>
      <c r="PEP204" s="605"/>
      <c r="PEQ204" s="605"/>
      <c r="PER204" s="605"/>
      <c r="PES204" s="605"/>
      <c r="PET204" s="605"/>
      <c r="PEU204" s="605"/>
      <c r="PEV204" s="605"/>
      <c r="PEW204" s="605"/>
      <c r="PEX204" s="605"/>
      <c r="PEY204" s="605"/>
      <c r="PEZ204" s="605"/>
      <c r="PFA204" s="605"/>
      <c r="PFB204" s="605"/>
      <c r="PFC204" s="605"/>
      <c r="PFD204" s="605"/>
      <c r="PFE204" s="605"/>
      <c r="PFF204" s="605"/>
      <c r="PFG204" s="605"/>
      <c r="PFH204" s="605"/>
      <c r="PFI204" s="605"/>
      <c r="PFJ204" s="605"/>
      <c r="PFK204" s="605"/>
      <c r="PFL204" s="605"/>
      <c r="PFM204" s="605"/>
      <c r="PFN204" s="605"/>
      <c r="PFO204" s="605"/>
      <c r="PFP204" s="605"/>
      <c r="PFQ204" s="605"/>
      <c r="PFR204" s="605"/>
      <c r="PFS204" s="605"/>
      <c r="PFT204" s="605"/>
      <c r="PFU204" s="605"/>
      <c r="PFV204" s="605"/>
      <c r="PFW204" s="605"/>
      <c r="PFX204" s="605"/>
      <c r="PFY204" s="605"/>
      <c r="PFZ204" s="605"/>
      <c r="PGA204" s="605"/>
      <c r="PGB204" s="605"/>
      <c r="PGC204" s="605"/>
      <c r="PGD204" s="605"/>
      <c r="PGE204" s="605"/>
      <c r="PGF204" s="605"/>
      <c r="PGG204" s="605"/>
      <c r="PGH204" s="605"/>
      <c r="PGI204" s="605"/>
      <c r="PGJ204" s="605"/>
      <c r="PGK204" s="605"/>
      <c r="PGL204" s="605"/>
      <c r="PGM204" s="605"/>
      <c r="PGN204" s="605"/>
      <c r="PGO204" s="605"/>
      <c r="PGP204" s="605"/>
      <c r="PGQ204" s="605"/>
      <c r="PGR204" s="605"/>
      <c r="PGS204" s="605"/>
      <c r="PGT204" s="605"/>
      <c r="PGU204" s="605"/>
      <c r="PGV204" s="605"/>
      <c r="PGW204" s="605"/>
      <c r="PGX204" s="605"/>
      <c r="PGY204" s="605"/>
      <c r="PGZ204" s="605"/>
      <c r="PHA204" s="605"/>
      <c r="PHB204" s="605"/>
      <c r="PHC204" s="605"/>
      <c r="PHD204" s="605"/>
      <c r="PHE204" s="605"/>
      <c r="PHF204" s="605"/>
      <c r="PHG204" s="605"/>
      <c r="PHH204" s="605"/>
      <c r="PHI204" s="605"/>
      <c r="PHJ204" s="605"/>
      <c r="PHK204" s="605"/>
      <c r="PHL204" s="605"/>
      <c r="PHM204" s="605"/>
      <c r="PHN204" s="605"/>
      <c r="PHO204" s="605"/>
      <c r="PHP204" s="605"/>
      <c r="PHQ204" s="605"/>
      <c r="PHR204" s="605"/>
      <c r="PHS204" s="605"/>
      <c r="PHT204" s="605"/>
      <c r="PHU204" s="605"/>
      <c r="PHV204" s="605"/>
      <c r="PHW204" s="605"/>
      <c r="PHX204" s="605"/>
      <c r="PHY204" s="605"/>
      <c r="PHZ204" s="605"/>
      <c r="PIA204" s="605"/>
      <c r="PIB204" s="605"/>
      <c r="PIC204" s="605"/>
      <c r="PID204" s="605"/>
      <c r="PIE204" s="605"/>
      <c r="PIF204" s="605"/>
      <c r="PIG204" s="605"/>
      <c r="PIH204" s="605"/>
      <c r="PII204" s="605"/>
      <c r="PIJ204" s="605"/>
      <c r="PIK204" s="605"/>
      <c r="PIL204" s="605"/>
      <c r="PIM204" s="605"/>
      <c r="PIN204" s="605"/>
      <c r="PIO204" s="605"/>
      <c r="PIP204" s="605"/>
      <c r="PIQ204" s="605"/>
      <c r="PIR204" s="605"/>
      <c r="PIS204" s="605"/>
      <c r="PIT204" s="605"/>
      <c r="PIU204" s="605"/>
      <c r="PIV204" s="605"/>
      <c r="PIW204" s="605"/>
      <c r="PIX204" s="605"/>
      <c r="PIY204" s="605"/>
      <c r="PIZ204" s="605"/>
      <c r="PJA204" s="605"/>
      <c r="PJB204" s="605"/>
      <c r="PJC204" s="605"/>
      <c r="PJD204" s="605"/>
      <c r="PJE204" s="605"/>
      <c r="PJF204" s="605"/>
      <c r="PJG204" s="605"/>
      <c r="PJH204" s="605"/>
      <c r="PJI204" s="605"/>
      <c r="PJJ204" s="605"/>
      <c r="PJK204" s="605"/>
      <c r="PJL204" s="605"/>
      <c r="PJM204" s="605"/>
      <c r="PJN204" s="605"/>
      <c r="PJO204" s="605"/>
      <c r="PJP204" s="605"/>
      <c r="PJQ204" s="605"/>
      <c r="PJR204" s="605"/>
      <c r="PJS204" s="605"/>
      <c r="PJT204" s="605"/>
      <c r="PJU204" s="605"/>
      <c r="PJV204" s="605"/>
      <c r="PJW204" s="605"/>
      <c r="PJX204" s="605"/>
      <c r="PJY204" s="605"/>
      <c r="PJZ204" s="605"/>
      <c r="PKA204" s="605"/>
      <c r="PKB204" s="605"/>
      <c r="PKC204" s="605"/>
      <c r="PKD204" s="605"/>
      <c r="PKE204" s="605"/>
      <c r="PKF204" s="605"/>
      <c r="PKG204" s="605"/>
      <c r="PKH204" s="605"/>
      <c r="PKI204" s="605"/>
      <c r="PKJ204" s="605"/>
      <c r="PKK204" s="605"/>
      <c r="PKL204" s="605"/>
      <c r="PKM204" s="605"/>
      <c r="PKN204" s="605"/>
      <c r="PKO204" s="605"/>
      <c r="PKP204" s="605"/>
      <c r="PKQ204" s="605"/>
      <c r="PKR204" s="605"/>
      <c r="PKS204" s="605"/>
      <c r="PKT204" s="605"/>
      <c r="PKU204" s="605"/>
      <c r="PKV204" s="605"/>
      <c r="PKW204" s="605"/>
      <c r="PKX204" s="605"/>
      <c r="PKY204" s="605"/>
      <c r="PKZ204" s="605"/>
      <c r="PLA204" s="605"/>
      <c r="PLB204" s="605"/>
      <c r="PLC204" s="605"/>
      <c r="PLD204" s="605"/>
      <c r="PLE204" s="605"/>
      <c r="PLF204" s="605"/>
      <c r="PLG204" s="605"/>
      <c r="PLH204" s="605"/>
      <c r="PLI204" s="605"/>
      <c r="PLJ204" s="605"/>
      <c r="PLK204" s="605"/>
      <c r="PLL204" s="605"/>
      <c r="PLM204" s="605"/>
      <c r="PLN204" s="605"/>
      <c r="PLO204" s="605"/>
      <c r="PLP204" s="605"/>
      <c r="PLQ204" s="605"/>
      <c r="PLR204" s="605"/>
      <c r="PLS204" s="605"/>
      <c r="PLT204" s="605"/>
      <c r="PLU204" s="605"/>
      <c r="PLV204" s="605"/>
      <c r="PLW204" s="605"/>
      <c r="PLX204" s="605"/>
      <c r="PLY204" s="605"/>
      <c r="PLZ204" s="605"/>
      <c r="PMA204" s="605"/>
      <c r="PMB204" s="605"/>
      <c r="PMC204" s="605"/>
      <c r="PMD204" s="605"/>
      <c r="PME204" s="605"/>
      <c r="PMF204" s="605"/>
      <c r="PMG204" s="605"/>
      <c r="PMH204" s="605"/>
      <c r="PMI204" s="605"/>
      <c r="PMJ204" s="605"/>
      <c r="PMK204" s="605"/>
      <c r="PML204" s="605"/>
      <c r="PMM204" s="605"/>
      <c r="PMN204" s="605"/>
      <c r="PMO204" s="605"/>
      <c r="PMP204" s="605"/>
      <c r="PMQ204" s="605"/>
      <c r="PMR204" s="605"/>
      <c r="PMS204" s="605"/>
      <c r="PMT204" s="605"/>
      <c r="PMU204" s="605"/>
      <c r="PMV204" s="605"/>
      <c r="PMW204" s="605"/>
      <c r="PMX204" s="605"/>
      <c r="PMY204" s="605"/>
      <c r="PMZ204" s="605"/>
      <c r="PNA204" s="605"/>
      <c r="PNB204" s="605"/>
      <c r="PNC204" s="605"/>
      <c r="PND204" s="605"/>
      <c r="PNE204" s="605"/>
      <c r="PNF204" s="605"/>
      <c r="PNG204" s="605"/>
      <c r="PNH204" s="605"/>
      <c r="PNI204" s="605"/>
      <c r="PNJ204" s="605"/>
      <c r="PNK204" s="605"/>
      <c r="PNL204" s="605"/>
      <c r="PNM204" s="605"/>
      <c r="PNN204" s="605"/>
      <c r="PNO204" s="605"/>
      <c r="PNP204" s="605"/>
      <c r="PNQ204" s="605"/>
      <c r="PNR204" s="605"/>
      <c r="PNS204" s="605"/>
      <c r="PNT204" s="605"/>
      <c r="PNU204" s="605"/>
      <c r="PNV204" s="605"/>
      <c r="PNW204" s="605"/>
      <c r="PNX204" s="605"/>
      <c r="PNY204" s="605"/>
      <c r="PNZ204" s="605"/>
      <c r="POA204" s="605"/>
      <c r="POB204" s="605"/>
      <c r="POC204" s="605"/>
      <c r="POD204" s="605"/>
      <c r="POE204" s="605"/>
      <c r="POF204" s="605"/>
      <c r="POG204" s="605"/>
      <c r="POH204" s="605"/>
      <c r="POI204" s="605"/>
      <c r="POJ204" s="605"/>
      <c r="POK204" s="605"/>
      <c r="POL204" s="605"/>
      <c r="POM204" s="605"/>
      <c r="PON204" s="605"/>
      <c r="POO204" s="605"/>
      <c r="POP204" s="605"/>
      <c r="POQ204" s="605"/>
      <c r="POR204" s="605"/>
      <c r="POS204" s="605"/>
      <c r="POT204" s="605"/>
      <c r="POU204" s="605"/>
      <c r="POV204" s="605"/>
      <c r="POW204" s="605"/>
      <c r="POX204" s="605"/>
      <c r="POY204" s="605"/>
      <c r="POZ204" s="605"/>
      <c r="PPA204" s="605"/>
      <c r="PPB204" s="605"/>
      <c r="PPC204" s="605"/>
      <c r="PPD204" s="605"/>
      <c r="PPE204" s="605"/>
      <c r="PPF204" s="605"/>
      <c r="PPG204" s="605"/>
      <c r="PPH204" s="605"/>
      <c r="PPI204" s="605"/>
      <c r="PPJ204" s="605"/>
      <c r="PPK204" s="605"/>
      <c r="PPL204" s="605"/>
      <c r="PPM204" s="605"/>
      <c r="PPN204" s="605"/>
      <c r="PPO204" s="605"/>
      <c r="PPP204" s="605"/>
      <c r="PPQ204" s="605"/>
      <c r="PPR204" s="605"/>
      <c r="PPS204" s="605"/>
      <c r="PPT204" s="605"/>
      <c r="PPU204" s="605"/>
      <c r="PPV204" s="605"/>
      <c r="PPW204" s="605"/>
      <c r="PPX204" s="605"/>
      <c r="PPY204" s="605"/>
      <c r="PPZ204" s="605"/>
      <c r="PQA204" s="605"/>
      <c r="PQB204" s="605"/>
      <c r="PQC204" s="605"/>
      <c r="PQD204" s="605"/>
      <c r="PQE204" s="605"/>
      <c r="PQF204" s="605"/>
      <c r="PQG204" s="605"/>
      <c r="PQH204" s="605"/>
      <c r="PQI204" s="605"/>
      <c r="PQJ204" s="605"/>
      <c r="PQK204" s="605"/>
      <c r="PQL204" s="605"/>
      <c r="PQM204" s="605"/>
      <c r="PQN204" s="605"/>
      <c r="PQO204" s="605"/>
      <c r="PQP204" s="605"/>
      <c r="PQQ204" s="605"/>
      <c r="PQR204" s="605"/>
      <c r="PQS204" s="605"/>
      <c r="PQT204" s="605"/>
      <c r="PQU204" s="605"/>
      <c r="PQV204" s="605"/>
      <c r="PQW204" s="605"/>
      <c r="PQX204" s="605"/>
      <c r="PQY204" s="605"/>
      <c r="PQZ204" s="605"/>
      <c r="PRA204" s="605"/>
      <c r="PRB204" s="605"/>
      <c r="PRC204" s="605"/>
      <c r="PRD204" s="605"/>
      <c r="PRE204" s="605"/>
      <c r="PRF204" s="605"/>
      <c r="PRG204" s="605"/>
      <c r="PRH204" s="605"/>
      <c r="PRI204" s="605"/>
      <c r="PRJ204" s="605"/>
      <c r="PRK204" s="605"/>
      <c r="PRL204" s="605"/>
      <c r="PRM204" s="605"/>
      <c r="PRN204" s="605"/>
      <c r="PRO204" s="605"/>
      <c r="PRP204" s="605"/>
      <c r="PRQ204" s="605"/>
      <c r="PRR204" s="605"/>
      <c r="PRS204" s="605"/>
      <c r="PRT204" s="605"/>
      <c r="PRU204" s="605"/>
      <c r="PRV204" s="605"/>
      <c r="PRW204" s="605"/>
      <c r="PRX204" s="605"/>
      <c r="PRY204" s="605"/>
      <c r="PRZ204" s="605"/>
      <c r="PSA204" s="605"/>
      <c r="PSB204" s="605"/>
      <c r="PSC204" s="605"/>
      <c r="PSD204" s="605"/>
      <c r="PSE204" s="605"/>
      <c r="PSF204" s="605"/>
      <c r="PSG204" s="605"/>
      <c r="PSH204" s="605"/>
      <c r="PSI204" s="605"/>
      <c r="PSJ204" s="605"/>
      <c r="PSK204" s="605"/>
      <c r="PSL204" s="605"/>
      <c r="PSM204" s="605"/>
      <c r="PSN204" s="605"/>
      <c r="PSO204" s="605"/>
      <c r="PSP204" s="605"/>
      <c r="PSQ204" s="605"/>
      <c r="PSR204" s="605"/>
      <c r="PSS204" s="605"/>
      <c r="PST204" s="605"/>
      <c r="PSU204" s="605"/>
      <c r="PSV204" s="605"/>
      <c r="PSW204" s="605"/>
      <c r="PSX204" s="605"/>
      <c r="PSY204" s="605"/>
      <c r="PSZ204" s="605"/>
      <c r="PTA204" s="605"/>
      <c r="PTB204" s="605"/>
      <c r="PTC204" s="605"/>
      <c r="PTD204" s="605"/>
      <c r="PTE204" s="605"/>
      <c r="PTF204" s="605"/>
      <c r="PTG204" s="605"/>
      <c r="PTH204" s="605"/>
      <c r="PTI204" s="605"/>
      <c r="PTJ204" s="605"/>
      <c r="PTK204" s="605"/>
      <c r="PTL204" s="605"/>
      <c r="PTM204" s="605"/>
      <c r="PTN204" s="605"/>
      <c r="PTO204" s="605"/>
      <c r="PTP204" s="605"/>
      <c r="PTQ204" s="605"/>
      <c r="PTR204" s="605"/>
      <c r="PTS204" s="605"/>
      <c r="PTT204" s="605"/>
      <c r="PTU204" s="605"/>
      <c r="PTV204" s="605"/>
      <c r="PTW204" s="605"/>
      <c r="PTX204" s="605"/>
      <c r="PTY204" s="605"/>
      <c r="PTZ204" s="605"/>
      <c r="PUA204" s="605"/>
      <c r="PUB204" s="605"/>
      <c r="PUC204" s="605"/>
      <c r="PUD204" s="605"/>
      <c r="PUE204" s="605"/>
      <c r="PUF204" s="605"/>
      <c r="PUG204" s="605"/>
      <c r="PUH204" s="605"/>
      <c r="PUI204" s="605"/>
      <c r="PUJ204" s="605"/>
      <c r="PUK204" s="605"/>
      <c r="PUL204" s="605"/>
      <c r="PUM204" s="605"/>
      <c r="PUN204" s="605"/>
      <c r="PUO204" s="605"/>
      <c r="PUP204" s="605"/>
      <c r="PUQ204" s="605"/>
      <c r="PUR204" s="605"/>
      <c r="PUS204" s="605"/>
      <c r="PUT204" s="605"/>
      <c r="PUU204" s="605"/>
      <c r="PUV204" s="605"/>
      <c r="PUW204" s="605"/>
      <c r="PUX204" s="605"/>
      <c r="PUY204" s="605"/>
      <c r="PUZ204" s="605"/>
      <c r="PVA204" s="605"/>
      <c r="PVB204" s="605"/>
      <c r="PVC204" s="605"/>
      <c r="PVD204" s="605"/>
      <c r="PVE204" s="605"/>
      <c r="PVF204" s="605"/>
      <c r="PVG204" s="605"/>
      <c r="PVH204" s="605"/>
      <c r="PVI204" s="605"/>
      <c r="PVJ204" s="605"/>
      <c r="PVK204" s="605"/>
      <c r="PVL204" s="605"/>
      <c r="PVM204" s="605"/>
      <c r="PVN204" s="605"/>
      <c r="PVO204" s="605"/>
      <c r="PVP204" s="605"/>
      <c r="PVQ204" s="605"/>
      <c r="PVR204" s="605"/>
      <c r="PVS204" s="605"/>
      <c r="PVT204" s="605"/>
      <c r="PVU204" s="605"/>
      <c r="PVV204" s="605"/>
      <c r="PVW204" s="605"/>
      <c r="PVX204" s="605"/>
      <c r="PVY204" s="605"/>
      <c r="PVZ204" s="605"/>
      <c r="PWA204" s="605"/>
      <c r="PWB204" s="605"/>
      <c r="PWC204" s="605"/>
      <c r="PWD204" s="605"/>
      <c r="PWE204" s="605"/>
      <c r="PWF204" s="605"/>
      <c r="PWG204" s="605"/>
      <c r="PWH204" s="605"/>
      <c r="PWI204" s="605"/>
      <c r="PWJ204" s="605"/>
      <c r="PWK204" s="605"/>
      <c r="PWL204" s="605"/>
      <c r="PWM204" s="605"/>
      <c r="PWN204" s="605"/>
      <c r="PWO204" s="605"/>
      <c r="PWP204" s="605"/>
      <c r="PWQ204" s="605"/>
      <c r="PWR204" s="605"/>
      <c r="PWS204" s="605"/>
      <c r="PWT204" s="605"/>
      <c r="PWU204" s="605"/>
      <c r="PWV204" s="605"/>
      <c r="PWW204" s="605"/>
      <c r="PWX204" s="605"/>
      <c r="PWY204" s="605"/>
      <c r="PWZ204" s="605"/>
      <c r="PXA204" s="605"/>
      <c r="PXB204" s="605"/>
      <c r="PXC204" s="605"/>
      <c r="PXD204" s="605"/>
      <c r="PXE204" s="605"/>
      <c r="PXF204" s="605"/>
      <c r="PXG204" s="605"/>
      <c r="PXH204" s="605"/>
      <c r="PXI204" s="605"/>
      <c r="PXJ204" s="605"/>
      <c r="PXK204" s="605"/>
      <c r="PXL204" s="605"/>
      <c r="PXM204" s="605"/>
      <c r="PXN204" s="605"/>
      <c r="PXO204" s="605"/>
      <c r="PXP204" s="605"/>
      <c r="PXQ204" s="605"/>
      <c r="PXR204" s="605"/>
      <c r="PXS204" s="605"/>
      <c r="PXT204" s="605"/>
      <c r="PXU204" s="605"/>
      <c r="PXV204" s="605"/>
      <c r="PXW204" s="605"/>
      <c r="PXX204" s="605"/>
      <c r="PXY204" s="605"/>
      <c r="PXZ204" s="605"/>
      <c r="PYA204" s="605"/>
      <c r="PYB204" s="605"/>
      <c r="PYC204" s="605"/>
      <c r="PYD204" s="605"/>
      <c r="PYE204" s="605"/>
      <c r="PYF204" s="605"/>
      <c r="PYG204" s="605"/>
      <c r="PYH204" s="605"/>
      <c r="PYI204" s="605"/>
      <c r="PYJ204" s="605"/>
      <c r="PYK204" s="605"/>
      <c r="PYL204" s="605"/>
      <c r="PYM204" s="605"/>
      <c r="PYN204" s="605"/>
      <c r="PYO204" s="605"/>
      <c r="PYP204" s="605"/>
      <c r="PYQ204" s="605"/>
      <c r="PYR204" s="605"/>
      <c r="PYS204" s="605"/>
      <c r="PYT204" s="605"/>
      <c r="PYU204" s="605"/>
      <c r="PYV204" s="605"/>
      <c r="PYW204" s="605"/>
      <c r="PYX204" s="605"/>
      <c r="PYY204" s="605"/>
      <c r="PYZ204" s="605"/>
      <c r="PZA204" s="605"/>
      <c r="PZB204" s="605"/>
      <c r="PZC204" s="605"/>
      <c r="PZD204" s="605"/>
      <c r="PZE204" s="605"/>
      <c r="PZF204" s="605"/>
      <c r="PZG204" s="605"/>
      <c r="PZH204" s="605"/>
      <c r="PZI204" s="605"/>
      <c r="PZJ204" s="605"/>
      <c r="PZK204" s="605"/>
      <c r="PZL204" s="605"/>
      <c r="PZM204" s="605"/>
      <c r="PZN204" s="605"/>
      <c r="PZO204" s="605"/>
      <c r="PZP204" s="605"/>
      <c r="PZQ204" s="605"/>
      <c r="PZR204" s="605"/>
      <c r="PZS204" s="605"/>
      <c r="PZT204" s="605"/>
      <c r="PZU204" s="605"/>
      <c r="PZV204" s="605"/>
      <c r="PZW204" s="605"/>
      <c r="PZX204" s="605"/>
      <c r="PZY204" s="605"/>
      <c r="PZZ204" s="605"/>
      <c r="QAA204" s="605"/>
      <c r="QAB204" s="605"/>
      <c r="QAC204" s="605"/>
      <c r="QAD204" s="605"/>
      <c r="QAE204" s="605"/>
      <c r="QAF204" s="605"/>
      <c r="QAG204" s="605"/>
      <c r="QAH204" s="605"/>
      <c r="QAI204" s="605"/>
      <c r="QAJ204" s="605"/>
      <c r="QAK204" s="605"/>
      <c r="QAL204" s="605"/>
      <c r="QAM204" s="605"/>
      <c r="QAN204" s="605"/>
      <c r="QAO204" s="605"/>
      <c r="QAP204" s="605"/>
      <c r="QAQ204" s="605"/>
      <c r="QAR204" s="605"/>
      <c r="QAS204" s="605"/>
      <c r="QAT204" s="605"/>
      <c r="QAU204" s="605"/>
      <c r="QAV204" s="605"/>
      <c r="QAW204" s="605"/>
      <c r="QAX204" s="605"/>
      <c r="QAY204" s="605"/>
      <c r="QAZ204" s="605"/>
      <c r="QBA204" s="605"/>
      <c r="QBB204" s="605"/>
      <c r="QBC204" s="605"/>
      <c r="QBD204" s="605"/>
      <c r="QBE204" s="605"/>
      <c r="QBF204" s="605"/>
      <c r="QBG204" s="605"/>
      <c r="QBH204" s="605"/>
      <c r="QBI204" s="605"/>
      <c r="QBJ204" s="605"/>
      <c r="QBK204" s="605"/>
      <c r="QBL204" s="605"/>
      <c r="QBM204" s="605"/>
      <c r="QBN204" s="605"/>
      <c r="QBO204" s="605"/>
      <c r="QBP204" s="605"/>
      <c r="QBQ204" s="605"/>
      <c r="QBR204" s="605"/>
      <c r="QBS204" s="605"/>
      <c r="QBT204" s="605"/>
      <c r="QBU204" s="605"/>
      <c r="QBV204" s="605"/>
      <c r="QBW204" s="605"/>
      <c r="QBX204" s="605"/>
      <c r="QBY204" s="605"/>
      <c r="QBZ204" s="605"/>
      <c r="QCA204" s="605"/>
      <c r="QCB204" s="605"/>
      <c r="QCC204" s="605"/>
      <c r="QCD204" s="605"/>
      <c r="QCE204" s="605"/>
      <c r="QCF204" s="605"/>
      <c r="QCG204" s="605"/>
      <c r="QCH204" s="605"/>
      <c r="QCI204" s="605"/>
      <c r="QCJ204" s="605"/>
      <c r="QCK204" s="605"/>
      <c r="QCL204" s="605"/>
      <c r="QCM204" s="605"/>
      <c r="QCN204" s="605"/>
      <c r="QCO204" s="605"/>
      <c r="QCP204" s="605"/>
      <c r="QCQ204" s="605"/>
      <c r="QCR204" s="605"/>
      <c r="QCS204" s="605"/>
      <c r="QCT204" s="605"/>
      <c r="QCU204" s="605"/>
      <c r="QCV204" s="605"/>
      <c r="QCW204" s="605"/>
      <c r="QCX204" s="605"/>
      <c r="QCY204" s="605"/>
      <c r="QCZ204" s="605"/>
      <c r="QDA204" s="605"/>
      <c r="QDB204" s="605"/>
      <c r="QDC204" s="605"/>
      <c r="QDD204" s="605"/>
      <c r="QDE204" s="605"/>
      <c r="QDF204" s="605"/>
      <c r="QDG204" s="605"/>
      <c r="QDH204" s="605"/>
      <c r="QDI204" s="605"/>
      <c r="QDJ204" s="605"/>
      <c r="QDK204" s="605"/>
      <c r="QDL204" s="605"/>
      <c r="QDM204" s="605"/>
      <c r="QDN204" s="605"/>
      <c r="QDO204" s="605"/>
      <c r="QDP204" s="605"/>
      <c r="QDQ204" s="605"/>
      <c r="QDR204" s="605"/>
      <c r="QDS204" s="605"/>
      <c r="QDT204" s="605"/>
      <c r="QDU204" s="605"/>
      <c r="QDV204" s="605"/>
      <c r="QDW204" s="605"/>
      <c r="QDX204" s="605"/>
      <c r="QDY204" s="605"/>
      <c r="QDZ204" s="605"/>
      <c r="QEA204" s="605"/>
      <c r="QEB204" s="605"/>
      <c r="QEC204" s="605"/>
      <c r="QED204" s="605"/>
      <c r="QEE204" s="605"/>
      <c r="QEF204" s="605"/>
      <c r="QEG204" s="605"/>
      <c r="QEH204" s="605"/>
      <c r="QEI204" s="605"/>
      <c r="QEJ204" s="605"/>
      <c r="QEK204" s="605"/>
      <c r="QEL204" s="605"/>
      <c r="QEM204" s="605"/>
      <c r="QEN204" s="605"/>
      <c r="QEO204" s="605"/>
      <c r="QEP204" s="605"/>
      <c r="QEQ204" s="605"/>
      <c r="QER204" s="605"/>
      <c r="QES204" s="605"/>
      <c r="QET204" s="605"/>
      <c r="QEU204" s="605"/>
      <c r="QEV204" s="605"/>
      <c r="QEW204" s="605"/>
      <c r="QEX204" s="605"/>
      <c r="QEY204" s="605"/>
      <c r="QEZ204" s="605"/>
      <c r="QFA204" s="605"/>
      <c r="QFB204" s="605"/>
      <c r="QFC204" s="605"/>
      <c r="QFD204" s="605"/>
      <c r="QFE204" s="605"/>
      <c r="QFF204" s="605"/>
      <c r="QFG204" s="605"/>
      <c r="QFH204" s="605"/>
      <c r="QFI204" s="605"/>
      <c r="QFJ204" s="605"/>
      <c r="QFK204" s="605"/>
      <c r="QFL204" s="605"/>
      <c r="QFM204" s="605"/>
      <c r="QFN204" s="605"/>
      <c r="QFO204" s="605"/>
      <c r="QFP204" s="605"/>
      <c r="QFQ204" s="605"/>
      <c r="QFR204" s="605"/>
      <c r="QFS204" s="605"/>
      <c r="QFT204" s="605"/>
      <c r="QFU204" s="605"/>
      <c r="QFV204" s="605"/>
      <c r="QFW204" s="605"/>
      <c r="QFX204" s="605"/>
      <c r="QFY204" s="605"/>
      <c r="QFZ204" s="605"/>
      <c r="QGA204" s="605"/>
      <c r="QGB204" s="605"/>
      <c r="QGC204" s="605"/>
      <c r="QGD204" s="605"/>
      <c r="QGE204" s="605"/>
      <c r="QGF204" s="605"/>
      <c r="QGG204" s="605"/>
      <c r="QGH204" s="605"/>
      <c r="QGI204" s="605"/>
      <c r="QGJ204" s="605"/>
      <c r="QGK204" s="605"/>
      <c r="QGL204" s="605"/>
      <c r="QGM204" s="605"/>
      <c r="QGN204" s="605"/>
      <c r="QGO204" s="605"/>
      <c r="QGP204" s="605"/>
      <c r="QGQ204" s="605"/>
      <c r="QGR204" s="605"/>
      <c r="QGS204" s="605"/>
      <c r="QGT204" s="605"/>
      <c r="QGU204" s="605"/>
      <c r="QGV204" s="605"/>
      <c r="QGW204" s="605"/>
      <c r="QGX204" s="605"/>
      <c r="QGY204" s="605"/>
      <c r="QGZ204" s="605"/>
      <c r="QHA204" s="605"/>
      <c r="QHB204" s="605"/>
      <c r="QHC204" s="605"/>
      <c r="QHD204" s="605"/>
      <c r="QHE204" s="605"/>
      <c r="QHF204" s="605"/>
      <c r="QHG204" s="605"/>
      <c r="QHH204" s="605"/>
      <c r="QHI204" s="605"/>
      <c r="QHJ204" s="605"/>
      <c r="QHK204" s="605"/>
      <c r="QHL204" s="605"/>
      <c r="QHM204" s="605"/>
      <c r="QHN204" s="605"/>
      <c r="QHO204" s="605"/>
      <c r="QHP204" s="605"/>
      <c r="QHQ204" s="605"/>
      <c r="QHR204" s="605"/>
      <c r="QHS204" s="605"/>
      <c r="QHT204" s="605"/>
      <c r="QHU204" s="605"/>
      <c r="QHV204" s="605"/>
      <c r="QHW204" s="605"/>
      <c r="QHX204" s="605"/>
      <c r="QHY204" s="605"/>
      <c r="QHZ204" s="605"/>
      <c r="QIA204" s="605"/>
      <c r="QIB204" s="605"/>
      <c r="QIC204" s="605"/>
      <c r="QID204" s="605"/>
      <c r="QIE204" s="605"/>
      <c r="QIF204" s="605"/>
      <c r="QIG204" s="605"/>
      <c r="QIH204" s="605"/>
      <c r="QII204" s="605"/>
      <c r="QIJ204" s="605"/>
      <c r="QIK204" s="605"/>
      <c r="QIL204" s="605"/>
      <c r="QIM204" s="605"/>
      <c r="QIN204" s="605"/>
      <c r="QIO204" s="605"/>
      <c r="QIP204" s="605"/>
      <c r="QIQ204" s="605"/>
      <c r="QIR204" s="605"/>
      <c r="QIS204" s="605"/>
      <c r="QIT204" s="605"/>
      <c r="QIU204" s="605"/>
      <c r="QIV204" s="605"/>
      <c r="QIW204" s="605"/>
      <c r="QIX204" s="605"/>
      <c r="QIY204" s="605"/>
      <c r="QIZ204" s="605"/>
      <c r="QJA204" s="605"/>
      <c r="QJB204" s="605"/>
      <c r="QJC204" s="605"/>
      <c r="QJD204" s="605"/>
      <c r="QJE204" s="605"/>
      <c r="QJF204" s="605"/>
      <c r="QJG204" s="605"/>
      <c r="QJH204" s="605"/>
      <c r="QJI204" s="605"/>
      <c r="QJJ204" s="605"/>
      <c r="QJK204" s="605"/>
      <c r="QJL204" s="605"/>
      <c r="QJM204" s="605"/>
      <c r="QJN204" s="605"/>
      <c r="QJO204" s="605"/>
      <c r="QJP204" s="605"/>
      <c r="QJQ204" s="605"/>
      <c r="QJR204" s="605"/>
      <c r="QJS204" s="605"/>
      <c r="QJT204" s="605"/>
      <c r="QJU204" s="605"/>
      <c r="QJV204" s="605"/>
      <c r="QJW204" s="605"/>
      <c r="QJX204" s="605"/>
      <c r="QJY204" s="605"/>
      <c r="QJZ204" s="605"/>
      <c r="QKA204" s="605"/>
      <c r="QKB204" s="605"/>
      <c r="QKC204" s="605"/>
      <c r="QKD204" s="605"/>
      <c r="QKE204" s="605"/>
      <c r="QKF204" s="605"/>
      <c r="QKG204" s="605"/>
      <c r="QKH204" s="605"/>
      <c r="QKI204" s="605"/>
      <c r="QKJ204" s="605"/>
      <c r="QKK204" s="605"/>
      <c r="QKL204" s="605"/>
      <c r="QKM204" s="605"/>
      <c r="QKN204" s="605"/>
      <c r="QKO204" s="605"/>
      <c r="QKP204" s="605"/>
      <c r="QKQ204" s="605"/>
      <c r="QKR204" s="605"/>
      <c r="QKS204" s="605"/>
      <c r="QKT204" s="605"/>
      <c r="QKU204" s="605"/>
      <c r="QKV204" s="605"/>
      <c r="QKW204" s="605"/>
      <c r="QKX204" s="605"/>
      <c r="QKY204" s="605"/>
      <c r="QKZ204" s="605"/>
      <c r="QLA204" s="605"/>
      <c r="QLB204" s="605"/>
      <c r="QLC204" s="605"/>
      <c r="QLD204" s="605"/>
      <c r="QLE204" s="605"/>
      <c r="QLF204" s="605"/>
      <c r="QLG204" s="605"/>
      <c r="QLH204" s="605"/>
      <c r="QLI204" s="605"/>
      <c r="QLJ204" s="605"/>
      <c r="QLK204" s="605"/>
      <c r="QLL204" s="605"/>
      <c r="QLM204" s="605"/>
      <c r="QLN204" s="605"/>
      <c r="QLO204" s="605"/>
      <c r="QLP204" s="605"/>
      <c r="QLQ204" s="605"/>
      <c r="QLR204" s="605"/>
      <c r="QLS204" s="605"/>
      <c r="QLT204" s="605"/>
      <c r="QLU204" s="605"/>
      <c r="QLV204" s="605"/>
      <c r="QLW204" s="605"/>
      <c r="QLX204" s="605"/>
      <c r="QLY204" s="605"/>
      <c r="QLZ204" s="605"/>
      <c r="QMA204" s="605"/>
      <c r="QMB204" s="605"/>
      <c r="QMC204" s="605"/>
      <c r="QMD204" s="605"/>
      <c r="QME204" s="605"/>
      <c r="QMF204" s="605"/>
      <c r="QMG204" s="605"/>
      <c r="QMH204" s="605"/>
      <c r="QMI204" s="605"/>
      <c r="QMJ204" s="605"/>
      <c r="QMK204" s="605"/>
      <c r="QML204" s="605"/>
      <c r="QMM204" s="605"/>
      <c r="QMN204" s="605"/>
      <c r="QMO204" s="605"/>
      <c r="QMP204" s="605"/>
      <c r="QMQ204" s="605"/>
      <c r="QMR204" s="605"/>
      <c r="QMS204" s="605"/>
      <c r="QMT204" s="605"/>
      <c r="QMU204" s="605"/>
      <c r="QMV204" s="605"/>
      <c r="QMW204" s="605"/>
      <c r="QMX204" s="605"/>
      <c r="QMY204" s="605"/>
      <c r="QMZ204" s="605"/>
      <c r="QNA204" s="605"/>
      <c r="QNB204" s="605"/>
      <c r="QNC204" s="605"/>
      <c r="QND204" s="605"/>
      <c r="QNE204" s="605"/>
      <c r="QNF204" s="605"/>
      <c r="QNG204" s="605"/>
      <c r="QNH204" s="605"/>
      <c r="QNI204" s="605"/>
      <c r="QNJ204" s="605"/>
      <c r="QNK204" s="605"/>
      <c r="QNL204" s="605"/>
      <c r="QNM204" s="605"/>
      <c r="QNN204" s="605"/>
      <c r="QNO204" s="605"/>
      <c r="QNP204" s="605"/>
      <c r="QNQ204" s="605"/>
      <c r="QNR204" s="605"/>
      <c r="QNS204" s="605"/>
      <c r="QNT204" s="605"/>
      <c r="QNU204" s="605"/>
      <c r="QNV204" s="605"/>
      <c r="QNW204" s="605"/>
      <c r="QNX204" s="605"/>
      <c r="QNY204" s="605"/>
      <c r="QNZ204" s="605"/>
      <c r="QOA204" s="605"/>
      <c r="QOB204" s="605"/>
      <c r="QOC204" s="605"/>
      <c r="QOD204" s="605"/>
      <c r="QOE204" s="605"/>
      <c r="QOF204" s="605"/>
      <c r="QOG204" s="605"/>
      <c r="QOH204" s="605"/>
      <c r="QOI204" s="605"/>
      <c r="QOJ204" s="605"/>
      <c r="QOK204" s="605"/>
      <c r="QOL204" s="605"/>
      <c r="QOM204" s="605"/>
      <c r="QON204" s="605"/>
      <c r="QOO204" s="605"/>
      <c r="QOP204" s="605"/>
      <c r="QOQ204" s="605"/>
      <c r="QOR204" s="605"/>
      <c r="QOS204" s="605"/>
      <c r="QOT204" s="605"/>
      <c r="QOU204" s="605"/>
      <c r="QOV204" s="605"/>
      <c r="QOW204" s="605"/>
      <c r="QOX204" s="605"/>
      <c r="QOY204" s="605"/>
      <c r="QOZ204" s="605"/>
      <c r="QPA204" s="605"/>
      <c r="QPB204" s="605"/>
      <c r="QPC204" s="605"/>
      <c r="QPD204" s="605"/>
      <c r="QPE204" s="605"/>
      <c r="QPF204" s="605"/>
      <c r="QPG204" s="605"/>
      <c r="QPH204" s="605"/>
      <c r="QPI204" s="605"/>
      <c r="QPJ204" s="605"/>
      <c r="QPK204" s="605"/>
      <c r="QPL204" s="605"/>
      <c r="QPM204" s="605"/>
      <c r="QPN204" s="605"/>
      <c r="QPO204" s="605"/>
      <c r="QPP204" s="605"/>
      <c r="QPQ204" s="605"/>
      <c r="QPR204" s="605"/>
      <c r="QPS204" s="605"/>
      <c r="QPT204" s="605"/>
      <c r="QPU204" s="605"/>
      <c r="QPV204" s="605"/>
      <c r="QPW204" s="605"/>
      <c r="QPX204" s="605"/>
      <c r="QPY204" s="605"/>
      <c r="QPZ204" s="605"/>
      <c r="QQA204" s="605"/>
      <c r="QQB204" s="605"/>
      <c r="QQC204" s="605"/>
      <c r="QQD204" s="605"/>
      <c r="QQE204" s="605"/>
      <c r="QQF204" s="605"/>
      <c r="QQG204" s="605"/>
      <c r="QQH204" s="605"/>
      <c r="QQI204" s="605"/>
      <c r="QQJ204" s="605"/>
      <c r="QQK204" s="605"/>
      <c r="QQL204" s="605"/>
      <c r="QQM204" s="605"/>
      <c r="QQN204" s="605"/>
      <c r="QQO204" s="605"/>
      <c r="QQP204" s="605"/>
      <c r="QQQ204" s="605"/>
      <c r="QQR204" s="605"/>
      <c r="QQS204" s="605"/>
      <c r="QQT204" s="605"/>
      <c r="QQU204" s="605"/>
      <c r="QQV204" s="605"/>
      <c r="QQW204" s="605"/>
      <c r="QQX204" s="605"/>
      <c r="QQY204" s="605"/>
      <c r="QQZ204" s="605"/>
      <c r="QRA204" s="605"/>
      <c r="QRB204" s="605"/>
      <c r="QRC204" s="605"/>
      <c r="QRD204" s="605"/>
      <c r="QRE204" s="605"/>
      <c r="QRF204" s="605"/>
      <c r="QRG204" s="605"/>
      <c r="QRH204" s="605"/>
      <c r="QRI204" s="605"/>
      <c r="QRJ204" s="605"/>
      <c r="QRK204" s="605"/>
      <c r="QRL204" s="605"/>
      <c r="QRM204" s="605"/>
      <c r="QRN204" s="605"/>
      <c r="QRO204" s="605"/>
      <c r="QRP204" s="605"/>
      <c r="QRQ204" s="605"/>
      <c r="QRR204" s="605"/>
      <c r="QRS204" s="605"/>
      <c r="QRT204" s="605"/>
      <c r="QRU204" s="605"/>
      <c r="QRV204" s="605"/>
      <c r="QRW204" s="605"/>
      <c r="QRX204" s="605"/>
      <c r="QRY204" s="605"/>
      <c r="QRZ204" s="605"/>
      <c r="QSA204" s="605"/>
      <c r="QSB204" s="605"/>
      <c r="QSC204" s="605"/>
      <c r="QSD204" s="605"/>
      <c r="QSE204" s="605"/>
      <c r="QSF204" s="605"/>
      <c r="QSG204" s="605"/>
      <c r="QSH204" s="605"/>
      <c r="QSI204" s="605"/>
      <c r="QSJ204" s="605"/>
      <c r="QSK204" s="605"/>
      <c r="QSL204" s="605"/>
      <c r="QSM204" s="605"/>
      <c r="QSN204" s="605"/>
      <c r="QSO204" s="605"/>
      <c r="QSP204" s="605"/>
      <c r="QSQ204" s="605"/>
      <c r="QSR204" s="605"/>
      <c r="QSS204" s="605"/>
      <c r="QST204" s="605"/>
      <c r="QSU204" s="605"/>
      <c r="QSV204" s="605"/>
      <c r="QSW204" s="605"/>
      <c r="QSX204" s="605"/>
      <c r="QSY204" s="605"/>
      <c r="QSZ204" s="605"/>
      <c r="QTA204" s="605"/>
      <c r="QTB204" s="605"/>
      <c r="QTC204" s="605"/>
      <c r="QTD204" s="605"/>
      <c r="QTE204" s="605"/>
      <c r="QTF204" s="605"/>
      <c r="QTG204" s="605"/>
      <c r="QTH204" s="605"/>
      <c r="QTI204" s="605"/>
      <c r="QTJ204" s="605"/>
      <c r="QTK204" s="605"/>
      <c r="QTL204" s="605"/>
      <c r="QTM204" s="605"/>
      <c r="QTN204" s="605"/>
      <c r="QTO204" s="605"/>
      <c r="QTP204" s="605"/>
      <c r="QTQ204" s="605"/>
      <c r="QTR204" s="605"/>
      <c r="QTS204" s="605"/>
      <c r="QTT204" s="605"/>
      <c r="QTU204" s="605"/>
      <c r="QTV204" s="605"/>
      <c r="QTW204" s="605"/>
      <c r="QTX204" s="605"/>
      <c r="QTY204" s="605"/>
      <c r="QTZ204" s="605"/>
      <c r="QUA204" s="605"/>
      <c r="QUB204" s="605"/>
      <c r="QUC204" s="605"/>
      <c r="QUD204" s="605"/>
      <c r="QUE204" s="605"/>
      <c r="QUF204" s="605"/>
      <c r="QUG204" s="605"/>
      <c r="QUH204" s="605"/>
      <c r="QUI204" s="605"/>
      <c r="QUJ204" s="605"/>
      <c r="QUK204" s="605"/>
      <c r="QUL204" s="605"/>
      <c r="QUM204" s="605"/>
      <c r="QUN204" s="605"/>
      <c r="QUO204" s="605"/>
      <c r="QUP204" s="605"/>
      <c r="QUQ204" s="605"/>
      <c r="QUR204" s="605"/>
      <c r="QUS204" s="605"/>
      <c r="QUT204" s="605"/>
      <c r="QUU204" s="605"/>
      <c r="QUV204" s="605"/>
      <c r="QUW204" s="605"/>
      <c r="QUX204" s="605"/>
      <c r="QUY204" s="605"/>
      <c r="QUZ204" s="605"/>
      <c r="QVA204" s="605"/>
      <c r="QVB204" s="605"/>
      <c r="QVC204" s="605"/>
      <c r="QVD204" s="605"/>
      <c r="QVE204" s="605"/>
      <c r="QVF204" s="605"/>
      <c r="QVG204" s="605"/>
      <c r="QVH204" s="605"/>
      <c r="QVI204" s="605"/>
      <c r="QVJ204" s="605"/>
      <c r="QVK204" s="605"/>
      <c r="QVL204" s="605"/>
      <c r="QVM204" s="605"/>
      <c r="QVN204" s="605"/>
      <c r="QVO204" s="605"/>
      <c r="QVP204" s="605"/>
      <c r="QVQ204" s="605"/>
      <c r="QVR204" s="605"/>
      <c r="QVS204" s="605"/>
      <c r="QVT204" s="605"/>
      <c r="QVU204" s="605"/>
      <c r="QVV204" s="605"/>
      <c r="QVW204" s="605"/>
      <c r="QVX204" s="605"/>
      <c r="QVY204" s="605"/>
      <c r="QVZ204" s="605"/>
      <c r="QWA204" s="605"/>
      <c r="QWB204" s="605"/>
      <c r="QWC204" s="605"/>
      <c r="QWD204" s="605"/>
      <c r="QWE204" s="605"/>
      <c r="QWF204" s="605"/>
      <c r="QWG204" s="605"/>
      <c r="QWH204" s="605"/>
      <c r="QWI204" s="605"/>
      <c r="QWJ204" s="605"/>
      <c r="QWK204" s="605"/>
      <c r="QWL204" s="605"/>
      <c r="QWM204" s="605"/>
      <c r="QWN204" s="605"/>
      <c r="QWO204" s="605"/>
      <c r="QWP204" s="605"/>
      <c r="QWQ204" s="605"/>
      <c r="QWR204" s="605"/>
      <c r="QWS204" s="605"/>
      <c r="QWT204" s="605"/>
      <c r="QWU204" s="605"/>
      <c r="QWV204" s="605"/>
      <c r="QWW204" s="605"/>
      <c r="QWX204" s="605"/>
      <c r="QWY204" s="605"/>
      <c r="QWZ204" s="605"/>
      <c r="QXA204" s="605"/>
      <c r="QXB204" s="605"/>
      <c r="QXC204" s="605"/>
      <c r="QXD204" s="605"/>
      <c r="QXE204" s="605"/>
      <c r="QXF204" s="605"/>
      <c r="QXG204" s="605"/>
      <c r="QXH204" s="605"/>
      <c r="QXI204" s="605"/>
      <c r="QXJ204" s="605"/>
      <c r="QXK204" s="605"/>
      <c r="QXL204" s="605"/>
      <c r="QXM204" s="605"/>
      <c r="QXN204" s="605"/>
      <c r="QXO204" s="605"/>
      <c r="QXP204" s="605"/>
      <c r="QXQ204" s="605"/>
      <c r="QXR204" s="605"/>
      <c r="QXS204" s="605"/>
      <c r="QXT204" s="605"/>
      <c r="QXU204" s="605"/>
      <c r="QXV204" s="605"/>
      <c r="QXW204" s="605"/>
      <c r="QXX204" s="605"/>
      <c r="QXY204" s="605"/>
      <c r="QXZ204" s="605"/>
      <c r="QYA204" s="605"/>
      <c r="QYB204" s="605"/>
      <c r="QYC204" s="605"/>
      <c r="QYD204" s="605"/>
      <c r="QYE204" s="605"/>
      <c r="QYF204" s="605"/>
      <c r="QYG204" s="605"/>
      <c r="QYH204" s="605"/>
      <c r="QYI204" s="605"/>
      <c r="QYJ204" s="605"/>
      <c r="QYK204" s="605"/>
      <c r="QYL204" s="605"/>
      <c r="QYM204" s="605"/>
      <c r="QYN204" s="605"/>
      <c r="QYO204" s="605"/>
      <c r="QYP204" s="605"/>
      <c r="QYQ204" s="605"/>
      <c r="QYR204" s="605"/>
      <c r="QYS204" s="605"/>
      <c r="QYT204" s="605"/>
      <c r="QYU204" s="605"/>
      <c r="QYV204" s="605"/>
      <c r="QYW204" s="605"/>
      <c r="QYX204" s="605"/>
      <c r="QYY204" s="605"/>
      <c r="QYZ204" s="605"/>
      <c r="QZA204" s="605"/>
      <c r="QZB204" s="605"/>
      <c r="QZC204" s="605"/>
      <c r="QZD204" s="605"/>
      <c r="QZE204" s="605"/>
      <c r="QZF204" s="605"/>
      <c r="QZG204" s="605"/>
      <c r="QZH204" s="605"/>
      <c r="QZI204" s="605"/>
      <c r="QZJ204" s="605"/>
      <c r="QZK204" s="605"/>
      <c r="QZL204" s="605"/>
      <c r="QZM204" s="605"/>
      <c r="QZN204" s="605"/>
      <c r="QZO204" s="605"/>
      <c r="QZP204" s="605"/>
      <c r="QZQ204" s="605"/>
      <c r="QZR204" s="605"/>
      <c r="QZS204" s="605"/>
      <c r="QZT204" s="605"/>
      <c r="QZU204" s="605"/>
      <c r="QZV204" s="605"/>
      <c r="QZW204" s="605"/>
      <c r="QZX204" s="605"/>
      <c r="QZY204" s="605"/>
      <c r="QZZ204" s="605"/>
      <c r="RAA204" s="605"/>
      <c r="RAB204" s="605"/>
      <c r="RAC204" s="605"/>
      <c r="RAD204" s="605"/>
      <c r="RAE204" s="605"/>
      <c r="RAF204" s="605"/>
      <c r="RAG204" s="605"/>
      <c r="RAH204" s="605"/>
      <c r="RAI204" s="605"/>
      <c r="RAJ204" s="605"/>
      <c r="RAK204" s="605"/>
      <c r="RAL204" s="605"/>
      <c r="RAM204" s="605"/>
      <c r="RAN204" s="605"/>
      <c r="RAO204" s="605"/>
      <c r="RAP204" s="605"/>
      <c r="RAQ204" s="605"/>
      <c r="RAR204" s="605"/>
      <c r="RAS204" s="605"/>
      <c r="RAT204" s="605"/>
      <c r="RAU204" s="605"/>
      <c r="RAV204" s="605"/>
      <c r="RAW204" s="605"/>
      <c r="RAX204" s="605"/>
      <c r="RAY204" s="605"/>
      <c r="RAZ204" s="605"/>
      <c r="RBA204" s="605"/>
      <c r="RBB204" s="605"/>
      <c r="RBC204" s="605"/>
      <c r="RBD204" s="605"/>
      <c r="RBE204" s="605"/>
      <c r="RBF204" s="605"/>
      <c r="RBG204" s="605"/>
      <c r="RBH204" s="605"/>
      <c r="RBI204" s="605"/>
      <c r="RBJ204" s="605"/>
      <c r="RBK204" s="605"/>
      <c r="RBL204" s="605"/>
      <c r="RBM204" s="605"/>
      <c r="RBN204" s="605"/>
      <c r="RBO204" s="605"/>
      <c r="RBP204" s="605"/>
      <c r="RBQ204" s="605"/>
      <c r="RBR204" s="605"/>
      <c r="RBS204" s="605"/>
      <c r="RBT204" s="605"/>
      <c r="RBU204" s="605"/>
      <c r="RBV204" s="605"/>
      <c r="RBW204" s="605"/>
      <c r="RBX204" s="605"/>
      <c r="RBY204" s="605"/>
      <c r="RBZ204" s="605"/>
      <c r="RCA204" s="605"/>
      <c r="RCB204" s="605"/>
      <c r="RCC204" s="605"/>
      <c r="RCD204" s="605"/>
      <c r="RCE204" s="605"/>
      <c r="RCF204" s="605"/>
      <c r="RCG204" s="605"/>
      <c r="RCH204" s="605"/>
      <c r="RCI204" s="605"/>
      <c r="RCJ204" s="605"/>
      <c r="RCK204" s="605"/>
      <c r="RCL204" s="605"/>
      <c r="RCM204" s="605"/>
      <c r="RCN204" s="605"/>
      <c r="RCO204" s="605"/>
      <c r="RCP204" s="605"/>
      <c r="RCQ204" s="605"/>
      <c r="RCR204" s="605"/>
      <c r="RCS204" s="605"/>
      <c r="RCT204" s="605"/>
      <c r="RCU204" s="605"/>
      <c r="RCV204" s="605"/>
      <c r="RCW204" s="605"/>
      <c r="RCX204" s="605"/>
      <c r="RCY204" s="605"/>
      <c r="RCZ204" s="605"/>
      <c r="RDA204" s="605"/>
      <c r="RDB204" s="605"/>
      <c r="RDC204" s="605"/>
      <c r="RDD204" s="605"/>
      <c r="RDE204" s="605"/>
      <c r="RDF204" s="605"/>
      <c r="RDG204" s="605"/>
      <c r="RDH204" s="605"/>
      <c r="RDI204" s="605"/>
      <c r="RDJ204" s="605"/>
      <c r="RDK204" s="605"/>
      <c r="RDL204" s="605"/>
      <c r="RDM204" s="605"/>
      <c r="RDN204" s="605"/>
      <c r="RDO204" s="605"/>
      <c r="RDP204" s="605"/>
      <c r="RDQ204" s="605"/>
      <c r="RDR204" s="605"/>
      <c r="RDS204" s="605"/>
      <c r="RDT204" s="605"/>
      <c r="RDU204" s="605"/>
      <c r="RDV204" s="605"/>
      <c r="RDW204" s="605"/>
      <c r="RDX204" s="605"/>
      <c r="RDY204" s="605"/>
      <c r="RDZ204" s="605"/>
      <c r="REA204" s="605"/>
      <c r="REB204" s="605"/>
      <c r="REC204" s="605"/>
      <c r="RED204" s="605"/>
      <c r="REE204" s="605"/>
      <c r="REF204" s="605"/>
      <c r="REG204" s="605"/>
      <c r="REH204" s="605"/>
      <c r="REI204" s="605"/>
      <c r="REJ204" s="605"/>
      <c r="REK204" s="605"/>
      <c r="REL204" s="605"/>
      <c r="REM204" s="605"/>
      <c r="REN204" s="605"/>
      <c r="REO204" s="605"/>
      <c r="REP204" s="605"/>
      <c r="REQ204" s="605"/>
      <c r="RER204" s="605"/>
      <c r="RES204" s="605"/>
      <c r="RET204" s="605"/>
      <c r="REU204" s="605"/>
      <c r="REV204" s="605"/>
      <c r="REW204" s="605"/>
      <c r="REX204" s="605"/>
      <c r="REY204" s="605"/>
      <c r="REZ204" s="605"/>
      <c r="RFA204" s="605"/>
      <c r="RFB204" s="605"/>
      <c r="RFC204" s="605"/>
      <c r="RFD204" s="605"/>
      <c r="RFE204" s="605"/>
      <c r="RFF204" s="605"/>
      <c r="RFG204" s="605"/>
      <c r="RFH204" s="605"/>
      <c r="RFI204" s="605"/>
      <c r="RFJ204" s="605"/>
      <c r="RFK204" s="605"/>
      <c r="RFL204" s="605"/>
      <c r="RFM204" s="605"/>
      <c r="RFN204" s="605"/>
      <c r="RFO204" s="605"/>
      <c r="RFP204" s="605"/>
      <c r="RFQ204" s="605"/>
      <c r="RFR204" s="605"/>
      <c r="RFS204" s="605"/>
      <c r="RFT204" s="605"/>
      <c r="RFU204" s="605"/>
      <c r="RFV204" s="605"/>
      <c r="RFW204" s="605"/>
      <c r="RFX204" s="605"/>
      <c r="RFY204" s="605"/>
      <c r="RFZ204" s="605"/>
      <c r="RGA204" s="605"/>
      <c r="RGB204" s="605"/>
      <c r="RGC204" s="605"/>
      <c r="RGD204" s="605"/>
      <c r="RGE204" s="605"/>
      <c r="RGF204" s="605"/>
      <c r="RGG204" s="605"/>
      <c r="RGH204" s="605"/>
      <c r="RGI204" s="605"/>
      <c r="RGJ204" s="605"/>
      <c r="RGK204" s="605"/>
      <c r="RGL204" s="605"/>
      <c r="RGM204" s="605"/>
      <c r="RGN204" s="605"/>
      <c r="RGO204" s="605"/>
      <c r="RGP204" s="605"/>
      <c r="RGQ204" s="605"/>
      <c r="RGR204" s="605"/>
      <c r="RGS204" s="605"/>
      <c r="RGT204" s="605"/>
      <c r="RGU204" s="605"/>
      <c r="RGV204" s="605"/>
      <c r="RGW204" s="605"/>
      <c r="RGX204" s="605"/>
      <c r="RGY204" s="605"/>
      <c r="RGZ204" s="605"/>
      <c r="RHA204" s="605"/>
      <c r="RHB204" s="605"/>
      <c r="RHC204" s="605"/>
      <c r="RHD204" s="605"/>
      <c r="RHE204" s="605"/>
      <c r="RHF204" s="605"/>
      <c r="RHG204" s="605"/>
      <c r="RHH204" s="605"/>
      <c r="RHI204" s="605"/>
      <c r="RHJ204" s="605"/>
      <c r="RHK204" s="605"/>
      <c r="RHL204" s="605"/>
      <c r="RHM204" s="605"/>
      <c r="RHN204" s="605"/>
      <c r="RHO204" s="605"/>
      <c r="RHP204" s="605"/>
      <c r="RHQ204" s="605"/>
      <c r="RHR204" s="605"/>
      <c r="RHS204" s="605"/>
      <c r="RHT204" s="605"/>
      <c r="RHU204" s="605"/>
      <c r="RHV204" s="605"/>
      <c r="RHW204" s="605"/>
      <c r="RHX204" s="605"/>
      <c r="RHY204" s="605"/>
      <c r="RHZ204" s="605"/>
      <c r="RIA204" s="605"/>
      <c r="RIB204" s="605"/>
      <c r="RIC204" s="605"/>
      <c r="RID204" s="605"/>
      <c r="RIE204" s="605"/>
      <c r="RIF204" s="605"/>
      <c r="RIG204" s="605"/>
      <c r="RIH204" s="605"/>
      <c r="RII204" s="605"/>
      <c r="RIJ204" s="605"/>
      <c r="RIK204" s="605"/>
      <c r="RIL204" s="605"/>
      <c r="RIM204" s="605"/>
      <c r="RIN204" s="605"/>
      <c r="RIO204" s="605"/>
      <c r="RIP204" s="605"/>
      <c r="RIQ204" s="605"/>
      <c r="RIR204" s="605"/>
      <c r="RIS204" s="605"/>
      <c r="RIT204" s="605"/>
      <c r="RIU204" s="605"/>
      <c r="RIV204" s="605"/>
      <c r="RIW204" s="605"/>
      <c r="RIX204" s="605"/>
      <c r="RIY204" s="605"/>
      <c r="RIZ204" s="605"/>
      <c r="RJA204" s="605"/>
      <c r="RJB204" s="605"/>
      <c r="RJC204" s="605"/>
      <c r="RJD204" s="605"/>
      <c r="RJE204" s="605"/>
      <c r="RJF204" s="605"/>
      <c r="RJG204" s="605"/>
      <c r="RJH204" s="605"/>
      <c r="RJI204" s="605"/>
      <c r="RJJ204" s="605"/>
      <c r="RJK204" s="605"/>
      <c r="RJL204" s="605"/>
      <c r="RJM204" s="605"/>
      <c r="RJN204" s="605"/>
      <c r="RJO204" s="605"/>
      <c r="RJP204" s="605"/>
      <c r="RJQ204" s="605"/>
      <c r="RJR204" s="605"/>
      <c r="RJS204" s="605"/>
      <c r="RJT204" s="605"/>
      <c r="RJU204" s="605"/>
      <c r="RJV204" s="605"/>
      <c r="RJW204" s="605"/>
      <c r="RJX204" s="605"/>
      <c r="RJY204" s="605"/>
      <c r="RJZ204" s="605"/>
      <c r="RKA204" s="605"/>
      <c r="RKB204" s="605"/>
      <c r="RKC204" s="605"/>
      <c r="RKD204" s="605"/>
      <c r="RKE204" s="605"/>
      <c r="RKF204" s="605"/>
      <c r="RKG204" s="605"/>
      <c r="RKH204" s="605"/>
      <c r="RKI204" s="605"/>
      <c r="RKJ204" s="605"/>
      <c r="RKK204" s="605"/>
      <c r="RKL204" s="605"/>
      <c r="RKM204" s="605"/>
      <c r="RKN204" s="605"/>
      <c r="RKO204" s="605"/>
      <c r="RKP204" s="605"/>
      <c r="RKQ204" s="605"/>
      <c r="RKR204" s="605"/>
      <c r="RKS204" s="605"/>
      <c r="RKT204" s="605"/>
      <c r="RKU204" s="605"/>
      <c r="RKV204" s="605"/>
      <c r="RKW204" s="605"/>
      <c r="RKX204" s="605"/>
      <c r="RKY204" s="605"/>
      <c r="RKZ204" s="605"/>
      <c r="RLA204" s="605"/>
      <c r="RLB204" s="605"/>
      <c r="RLC204" s="605"/>
      <c r="RLD204" s="605"/>
      <c r="RLE204" s="605"/>
      <c r="RLF204" s="605"/>
      <c r="RLG204" s="605"/>
      <c r="RLH204" s="605"/>
      <c r="RLI204" s="605"/>
      <c r="RLJ204" s="605"/>
      <c r="RLK204" s="605"/>
      <c r="RLL204" s="605"/>
      <c r="RLM204" s="605"/>
      <c r="RLN204" s="605"/>
      <c r="RLO204" s="605"/>
      <c r="RLP204" s="605"/>
      <c r="RLQ204" s="605"/>
      <c r="RLR204" s="605"/>
      <c r="RLS204" s="605"/>
      <c r="RLT204" s="605"/>
      <c r="RLU204" s="605"/>
      <c r="RLV204" s="605"/>
      <c r="RLW204" s="605"/>
      <c r="RLX204" s="605"/>
      <c r="RLY204" s="605"/>
      <c r="RLZ204" s="605"/>
      <c r="RMA204" s="605"/>
      <c r="RMB204" s="605"/>
      <c r="RMC204" s="605"/>
      <c r="RMD204" s="605"/>
      <c r="RME204" s="605"/>
      <c r="RMF204" s="605"/>
      <c r="RMG204" s="605"/>
      <c r="RMH204" s="605"/>
      <c r="RMI204" s="605"/>
      <c r="RMJ204" s="605"/>
      <c r="RMK204" s="605"/>
      <c r="RML204" s="605"/>
      <c r="RMM204" s="605"/>
      <c r="RMN204" s="605"/>
      <c r="RMO204" s="605"/>
      <c r="RMP204" s="605"/>
      <c r="RMQ204" s="605"/>
      <c r="RMR204" s="605"/>
      <c r="RMS204" s="605"/>
      <c r="RMT204" s="605"/>
      <c r="RMU204" s="605"/>
      <c r="RMV204" s="605"/>
      <c r="RMW204" s="605"/>
      <c r="RMX204" s="605"/>
      <c r="RMY204" s="605"/>
      <c r="RMZ204" s="605"/>
      <c r="RNA204" s="605"/>
      <c r="RNB204" s="605"/>
      <c r="RNC204" s="605"/>
      <c r="RND204" s="605"/>
      <c r="RNE204" s="605"/>
      <c r="RNF204" s="605"/>
      <c r="RNG204" s="605"/>
      <c r="RNH204" s="605"/>
      <c r="RNI204" s="605"/>
      <c r="RNJ204" s="605"/>
      <c r="RNK204" s="605"/>
      <c r="RNL204" s="605"/>
      <c r="RNM204" s="605"/>
      <c r="RNN204" s="605"/>
      <c r="RNO204" s="605"/>
      <c r="RNP204" s="605"/>
      <c r="RNQ204" s="605"/>
      <c r="RNR204" s="605"/>
      <c r="RNS204" s="605"/>
      <c r="RNT204" s="605"/>
      <c r="RNU204" s="605"/>
      <c r="RNV204" s="605"/>
      <c r="RNW204" s="605"/>
      <c r="RNX204" s="605"/>
      <c r="RNY204" s="605"/>
      <c r="RNZ204" s="605"/>
      <c r="ROA204" s="605"/>
      <c r="ROB204" s="605"/>
      <c r="ROC204" s="605"/>
      <c r="ROD204" s="605"/>
      <c r="ROE204" s="605"/>
      <c r="ROF204" s="605"/>
      <c r="ROG204" s="605"/>
      <c r="ROH204" s="605"/>
      <c r="ROI204" s="605"/>
      <c r="ROJ204" s="605"/>
      <c r="ROK204" s="605"/>
      <c r="ROL204" s="605"/>
      <c r="ROM204" s="605"/>
      <c r="RON204" s="605"/>
      <c r="ROO204" s="605"/>
      <c r="ROP204" s="605"/>
      <c r="ROQ204" s="605"/>
      <c r="ROR204" s="605"/>
      <c r="ROS204" s="605"/>
      <c r="ROT204" s="605"/>
      <c r="ROU204" s="605"/>
      <c r="ROV204" s="605"/>
      <c r="ROW204" s="605"/>
      <c r="ROX204" s="605"/>
      <c r="ROY204" s="605"/>
      <c r="ROZ204" s="605"/>
      <c r="RPA204" s="605"/>
      <c r="RPB204" s="605"/>
      <c r="RPC204" s="605"/>
      <c r="RPD204" s="605"/>
      <c r="RPE204" s="605"/>
      <c r="RPF204" s="605"/>
      <c r="RPG204" s="605"/>
      <c r="RPH204" s="605"/>
      <c r="RPI204" s="605"/>
      <c r="RPJ204" s="605"/>
      <c r="RPK204" s="605"/>
      <c r="RPL204" s="605"/>
      <c r="RPM204" s="605"/>
      <c r="RPN204" s="605"/>
      <c r="RPO204" s="605"/>
      <c r="RPP204" s="605"/>
      <c r="RPQ204" s="605"/>
      <c r="RPR204" s="605"/>
      <c r="RPS204" s="605"/>
      <c r="RPT204" s="605"/>
      <c r="RPU204" s="605"/>
      <c r="RPV204" s="605"/>
      <c r="RPW204" s="605"/>
      <c r="RPX204" s="605"/>
      <c r="RPY204" s="605"/>
      <c r="RPZ204" s="605"/>
      <c r="RQA204" s="605"/>
      <c r="RQB204" s="605"/>
      <c r="RQC204" s="605"/>
      <c r="RQD204" s="605"/>
      <c r="RQE204" s="605"/>
      <c r="RQF204" s="605"/>
      <c r="RQG204" s="605"/>
      <c r="RQH204" s="605"/>
      <c r="RQI204" s="605"/>
      <c r="RQJ204" s="605"/>
      <c r="RQK204" s="605"/>
      <c r="RQL204" s="605"/>
      <c r="RQM204" s="605"/>
      <c r="RQN204" s="605"/>
      <c r="RQO204" s="605"/>
      <c r="RQP204" s="605"/>
      <c r="RQQ204" s="605"/>
      <c r="RQR204" s="605"/>
      <c r="RQS204" s="605"/>
      <c r="RQT204" s="605"/>
      <c r="RQU204" s="605"/>
      <c r="RQV204" s="605"/>
      <c r="RQW204" s="605"/>
      <c r="RQX204" s="605"/>
      <c r="RQY204" s="605"/>
      <c r="RQZ204" s="605"/>
      <c r="RRA204" s="605"/>
      <c r="RRB204" s="605"/>
      <c r="RRC204" s="605"/>
      <c r="RRD204" s="605"/>
      <c r="RRE204" s="605"/>
      <c r="RRF204" s="605"/>
      <c r="RRG204" s="605"/>
      <c r="RRH204" s="605"/>
      <c r="RRI204" s="605"/>
      <c r="RRJ204" s="605"/>
      <c r="RRK204" s="605"/>
      <c r="RRL204" s="605"/>
      <c r="RRM204" s="605"/>
      <c r="RRN204" s="605"/>
      <c r="RRO204" s="605"/>
      <c r="RRP204" s="605"/>
      <c r="RRQ204" s="605"/>
      <c r="RRR204" s="605"/>
      <c r="RRS204" s="605"/>
      <c r="RRT204" s="605"/>
      <c r="RRU204" s="605"/>
      <c r="RRV204" s="605"/>
      <c r="RRW204" s="605"/>
      <c r="RRX204" s="605"/>
      <c r="RRY204" s="605"/>
      <c r="RRZ204" s="605"/>
      <c r="RSA204" s="605"/>
      <c r="RSB204" s="605"/>
      <c r="RSC204" s="605"/>
      <c r="RSD204" s="605"/>
      <c r="RSE204" s="605"/>
      <c r="RSF204" s="605"/>
      <c r="RSG204" s="605"/>
      <c r="RSH204" s="605"/>
      <c r="RSI204" s="605"/>
      <c r="RSJ204" s="605"/>
      <c r="RSK204" s="605"/>
      <c r="RSL204" s="605"/>
      <c r="RSM204" s="605"/>
      <c r="RSN204" s="605"/>
      <c r="RSO204" s="605"/>
      <c r="RSP204" s="605"/>
      <c r="RSQ204" s="605"/>
      <c r="RSR204" s="605"/>
      <c r="RSS204" s="605"/>
      <c r="RST204" s="605"/>
      <c r="RSU204" s="605"/>
      <c r="RSV204" s="605"/>
      <c r="RSW204" s="605"/>
      <c r="RSX204" s="605"/>
      <c r="RSY204" s="605"/>
      <c r="RSZ204" s="605"/>
      <c r="RTA204" s="605"/>
      <c r="RTB204" s="605"/>
      <c r="RTC204" s="605"/>
      <c r="RTD204" s="605"/>
      <c r="RTE204" s="605"/>
      <c r="RTF204" s="605"/>
      <c r="RTG204" s="605"/>
      <c r="RTH204" s="605"/>
      <c r="RTI204" s="605"/>
      <c r="RTJ204" s="605"/>
      <c r="RTK204" s="605"/>
      <c r="RTL204" s="605"/>
      <c r="RTM204" s="605"/>
      <c r="RTN204" s="605"/>
      <c r="RTO204" s="605"/>
      <c r="RTP204" s="605"/>
      <c r="RTQ204" s="605"/>
      <c r="RTR204" s="605"/>
      <c r="RTS204" s="605"/>
      <c r="RTT204" s="605"/>
      <c r="RTU204" s="605"/>
      <c r="RTV204" s="605"/>
      <c r="RTW204" s="605"/>
      <c r="RTX204" s="605"/>
      <c r="RTY204" s="605"/>
      <c r="RTZ204" s="605"/>
      <c r="RUA204" s="605"/>
      <c r="RUB204" s="605"/>
      <c r="RUC204" s="605"/>
      <c r="RUD204" s="605"/>
      <c r="RUE204" s="605"/>
      <c r="RUF204" s="605"/>
      <c r="RUG204" s="605"/>
      <c r="RUH204" s="605"/>
      <c r="RUI204" s="605"/>
      <c r="RUJ204" s="605"/>
      <c r="RUK204" s="605"/>
      <c r="RUL204" s="605"/>
      <c r="RUM204" s="605"/>
      <c r="RUN204" s="605"/>
      <c r="RUO204" s="605"/>
      <c r="RUP204" s="605"/>
      <c r="RUQ204" s="605"/>
      <c r="RUR204" s="605"/>
      <c r="RUS204" s="605"/>
      <c r="RUT204" s="605"/>
      <c r="RUU204" s="605"/>
      <c r="RUV204" s="605"/>
      <c r="RUW204" s="605"/>
      <c r="RUX204" s="605"/>
      <c r="RUY204" s="605"/>
      <c r="RUZ204" s="605"/>
      <c r="RVA204" s="605"/>
      <c r="RVB204" s="605"/>
      <c r="RVC204" s="605"/>
      <c r="RVD204" s="605"/>
      <c r="RVE204" s="605"/>
      <c r="RVF204" s="605"/>
      <c r="RVG204" s="605"/>
      <c r="RVH204" s="605"/>
      <c r="RVI204" s="605"/>
      <c r="RVJ204" s="605"/>
      <c r="RVK204" s="605"/>
      <c r="RVL204" s="605"/>
      <c r="RVM204" s="605"/>
      <c r="RVN204" s="605"/>
      <c r="RVO204" s="605"/>
      <c r="RVP204" s="605"/>
      <c r="RVQ204" s="605"/>
      <c r="RVR204" s="605"/>
      <c r="RVS204" s="605"/>
      <c r="RVT204" s="605"/>
      <c r="RVU204" s="605"/>
      <c r="RVV204" s="605"/>
      <c r="RVW204" s="605"/>
      <c r="RVX204" s="605"/>
      <c r="RVY204" s="605"/>
      <c r="RVZ204" s="605"/>
      <c r="RWA204" s="605"/>
      <c r="RWB204" s="605"/>
      <c r="RWC204" s="605"/>
      <c r="RWD204" s="605"/>
      <c r="RWE204" s="605"/>
      <c r="RWF204" s="605"/>
      <c r="RWG204" s="605"/>
      <c r="RWH204" s="605"/>
      <c r="RWI204" s="605"/>
      <c r="RWJ204" s="605"/>
      <c r="RWK204" s="605"/>
      <c r="RWL204" s="605"/>
      <c r="RWM204" s="605"/>
      <c r="RWN204" s="605"/>
      <c r="RWO204" s="605"/>
      <c r="RWP204" s="605"/>
      <c r="RWQ204" s="605"/>
      <c r="RWR204" s="605"/>
      <c r="RWS204" s="605"/>
      <c r="RWT204" s="605"/>
      <c r="RWU204" s="605"/>
      <c r="RWV204" s="605"/>
      <c r="RWW204" s="605"/>
      <c r="RWX204" s="605"/>
      <c r="RWY204" s="605"/>
      <c r="RWZ204" s="605"/>
      <c r="RXA204" s="605"/>
      <c r="RXB204" s="605"/>
      <c r="RXC204" s="605"/>
      <c r="RXD204" s="605"/>
      <c r="RXE204" s="605"/>
      <c r="RXF204" s="605"/>
      <c r="RXG204" s="605"/>
      <c r="RXH204" s="605"/>
      <c r="RXI204" s="605"/>
      <c r="RXJ204" s="605"/>
      <c r="RXK204" s="605"/>
      <c r="RXL204" s="605"/>
      <c r="RXM204" s="605"/>
      <c r="RXN204" s="605"/>
      <c r="RXO204" s="605"/>
      <c r="RXP204" s="605"/>
      <c r="RXQ204" s="605"/>
      <c r="RXR204" s="605"/>
      <c r="RXS204" s="605"/>
      <c r="RXT204" s="605"/>
      <c r="RXU204" s="605"/>
      <c r="RXV204" s="605"/>
      <c r="RXW204" s="605"/>
      <c r="RXX204" s="605"/>
      <c r="RXY204" s="605"/>
      <c r="RXZ204" s="605"/>
      <c r="RYA204" s="605"/>
      <c r="RYB204" s="605"/>
      <c r="RYC204" s="605"/>
      <c r="RYD204" s="605"/>
      <c r="RYE204" s="605"/>
      <c r="RYF204" s="605"/>
      <c r="RYG204" s="605"/>
      <c r="RYH204" s="605"/>
      <c r="RYI204" s="605"/>
      <c r="RYJ204" s="605"/>
      <c r="RYK204" s="605"/>
      <c r="RYL204" s="605"/>
      <c r="RYM204" s="605"/>
      <c r="RYN204" s="605"/>
      <c r="RYO204" s="605"/>
      <c r="RYP204" s="605"/>
      <c r="RYQ204" s="605"/>
      <c r="RYR204" s="605"/>
      <c r="RYS204" s="605"/>
      <c r="RYT204" s="605"/>
      <c r="RYU204" s="605"/>
      <c r="RYV204" s="605"/>
      <c r="RYW204" s="605"/>
      <c r="RYX204" s="605"/>
      <c r="RYY204" s="605"/>
      <c r="RYZ204" s="605"/>
      <c r="RZA204" s="605"/>
      <c r="RZB204" s="605"/>
      <c r="RZC204" s="605"/>
      <c r="RZD204" s="605"/>
      <c r="RZE204" s="605"/>
      <c r="RZF204" s="605"/>
      <c r="RZG204" s="605"/>
      <c r="RZH204" s="605"/>
      <c r="RZI204" s="605"/>
      <c r="RZJ204" s="605"/>
      <c r="RZK204" s="605"/>
      <c r="RZL204" s="605"/>
      <c r="RZM204" s="605"/>
      <c r="RZN204" s="605"/>
      <c r="RZO204" s="605"/>
      <c r="RZP204" s="605"/>
      <c r="RZQ204" s="605"/>
      <c r="RZR204" s="605"/>
      <c r="RZS204" s="605"/>
      <c r="RZT204" s="605"/>
      <c r="RZU204" s="605"/>
      <c r="RZV204" s="605"/>
      <c r="RZW204" s="605"/>
      <c r="RZX204" s="605"/>
      <c r="RZY204" s="605"/>
      <c r="RZZ204" s="605"/>
      <c r="SAA204" s="605"/>
      <c r="SAB204" s="605"/>
      <c r="SAC204" s="605"/>
      <c r="SAD204" s="605"/>
      <c r="SAE204" s="605"/>
      <c r="SAF204" s="605"/>
      <c r="SAG204" s="605"/>
      <c r="SAH204" s="605"/>
      <c r="SAI204" s="605"/>
      <c r="SAJ204" s="605"/>
      <c r="SAK204" s="605"/>
      <c r="SAL204" s="605"/>
      <c r="SAM204" s="605"/>
      <c r="SAN204" s="605"/>
      <c r="SAO204" s="605"/>
      <c r="SAP204" s="605"/>
      <c r="SAQ204" s="605"/>
      <c r="SAR204" s="605"/>
      <c r="SAS204" s="605"/>
      <c r="SAT204" s="605"/>
      <c r="SAU204" s="605"/>
      <c r="SAV204" s="605"/>
      <c r="SAW204" s="605"/>
      <c r="SAX204" s="605"/>
      <c r="SAY204" s="605"/>
      <c r="SAZ204" s="605"/>
      <c r="SBA204" s="605"/>
      <c r="SBB204" s="605"/>
      <c r="SBC204" s="605"/>
      <c r="SBD204" s="605"/>
      <c r="SBE204" s="605"/>
      <c r="SBF204" s="605"/>
      <c r="SBG204" s="605"/>
      <c r="SBH204" s="605"/>
      <c r="SBI204" s="605"/>
      <c r="SBJ204" s="605"/>
      <c r="SBK204" s="605"/>
      <c r="SBL204" s="605"/>
      <c r="SBM204" s="605"/>
      <c r="SBN204" s="605"/>
      <c r="SBO204" s="605"/>
      <c r="SBP204" s="605"/>
      <c r="SBQ204" s="605"/>
      <c r="SBR204" s="605"/>
      <c r="SBS204" s="605"/>
      <c r="SBT204" s="605"/>
      <c r="SBU204" s="605"/>
      <c r="SBV204" s="605"/>
      <c r="SBW204" s="605"/>
      <c r="SBX204" s="605"/>
      <c r="SBY204" s="605"/>
      <c r="SBZ204" s="605"/>
      <c r="SCA204" s="605"/>
      <c r="SCB204" s="605"/>
      <c r="SCC204" s="605"/>
      <c r="SCD204" s="605"/>
      <c r="SCE204" s="605"/>
      <c r="SCF204" s="605"/>
      <c r="SCG204" s="605"/>
      <c r="SCH204" s="605"/>
      <c r="SCI204" s="605"/>
      <c r="SCJ204" s="605"/>
      <c r="SCK204" s="605"/>
      <c r="SCL204" s="605"/>
      <c r="SCM204" s="605"/>
      <c r="SCN204" s="605"/>
      <c r="SCO204" s="605"/>
      <c r="SCP204" s="605"/>
      <c r="SCQ204" s="605"/>
      <c r="SCR204" s="605"/>
      <c r="SCS204" s="605"/>
      <c r="SCT204" s="605"/>
      <c r="SCU204" s="605"/>
      <c r="SCV204" s="605"/>
      <c r="SCW204" s="605"/>
      <c r="SCX204" s="605"/>
      <c r="SCY204" s="605"/>
      <c r="SCZ204" s="605"/>
      <c r="SDA204" s="605"/>
      <c r="SDB204" s="605"/>
      <c r="SDC204" s="605"/>
      <c r="SDD204" s="605"/>
      <c r="SDE204" s="605"/>
      <c r="SDF204" s="605"/>
      <c r="SDG204" s="605"/>
      <c r="SDH204" s="605"/>
      <c r="SDI204" s="605"/>
      <c r="SDJ204" s="605"/>
      <c r="SDK204" s="605"/>
      <c r="SDL204" s="605"/>
      <c r="SDM204" s="605"/>
      <c r="SDN204" s="605"/>
      <c r="SDO204" s="605"/>
      <c r="SDP204" s="605"/>
      <c r="SDQ204" s="605"/>
      <c r="SDR204" s="605"/>
      <c r="SDS204" s="605"/>
      <c r="SDT204" s="605"/>
      <c r="SDU204" s="605"/>
      <c r="SDV204" s="605"/>
      <c r="SDW204" s="605"/>
      <c r="SDX204" s="605"/>
      <c r="SDY204" s="605"/>
      <c r="SDZ204" s="605"/>
      <c r="SEA204" s="605"/>
      <c r="SEB204" s="605"/>
      <c r="SEC204" s="605"/>
      <c r="SED204" s="605"/>
      <c r="SEE204" s="605"/>
      <c r="SEF204" s="605"/>
      <c r="SEG204" s="605"/>
      <c r="SEH204" s="605"/>
      <c r="SEI204" s="605"/>
      <c r="SEJ204" s="605"/>
      <c r="SEK204" s="605"/>
      <c r="SEL204" s="605"/>
      <c r="SEM204" s="605"/>
      <c r="SEN204" s="605"/>
      <c r="SEO204" s="605"/>
      <c r="SEP204" s="605"/>
      <c r="SEQ204" s="605"/>
      <c r="SER204" s="605"/>
      <c r="SES204" s="605"/>
      <c r="SET204" s="605"/>
      <c r="SEU204" s="605"/>
      <c r="SEV204" s="605"/>
      <c r="SEW204" s="605"/>
      <c r="SEX204" s="605"/>
      <c r="SEY204" s="605"/>
      <c r="SEZ204" s="605"/>
      <c r="SFA204" s="605"/>
      <c r="SFB204" s="605"/>
      <c r="SFC204" s="605"/>
      <c r="SFD204" s="605"/>
      <c r="SFE204" s="605"/>
      <c r="SFF204" s="605"/>
      <c r="SFG204" s="605"/>
      <c r="SFH204" s="605"/>
      <c r="SFI204" s="605"/>
      <c r="SFJ204" s="605"/>
      <c r="SFK204" s="605"/>
      <c r="SFL204" s="605"/>
      <c r="SFM204" s="605"/>
      <c r="SFN204" s="605"/>
      <c r="SFO204" s="605"/>
      <c r="SFP204" s="605"/>
      <c r="SFQ204" s="605"/>
      <c r="SFR204" s="605"/>
      <c r="SFS204" s="605"/>
      <c r="SFT204" s="605"/>
      <c r="SFU204" s="605"/>
      <c r="SFV204" s="605"/>
      <c r="SFW204" s="605"/>
      <c r="SFX204" s="605"/>
      <c r="SFY204" s="605"/>
      <c r="SFZ204" s="605"/>
      <c r="SGA204" s="605"/>
      <c r="SGB204" s="605"/>
      <c r="SGC204" s="605"/>
      <c r="SGD204" s="605"/>
      <c r="SGE204" s="605"/>
      <c r="SGF204" s="605"/>
      <c r="SGG204" s="605"/>
      <c r="SGH204" s="605"/>
      <c r="SGI204" s="605"/>
      <c r="SGJ204" s="605"/>
      <c r="SGK204" s="605"/>
      <c r="SGL204" s="605"/>
      <c r="SGM204" s="605"/>
      <c r="SGN204" s="605"/>
      <c r="SGO204" s="605"/>
      <c r="SGP204" s="605"/>
      <c r="SGQ204" s="605"/>
      <c r="SGR204" s="605"/>
      <c r="SGS204" s="605"/>
      <c r="SGT204" s="605"/>
      <c r="SGU204" s="605"/>
      <c r="SGV204" s="605"/>
      <c r="SGW204" s="605"/>
      <c r="SGX204" s="605"/>
      <c r="SGY204" s="605"/>
      <c r="SGZ204" s="605"/>
      <c r="SHA204" s="605"/>
      <c r="SHB204" s="605"/>
      <c r="SHC204" s="605"/>
      <c r="SHD204" s="605"/>
      <c r="SHE204" s="605"/>
      <c r="SHF204" s="605"/>
      <c r="SHG204" s="605"/>
      <c r="SHH204" s="605"/>
      <c r="SHI204" s="605"/>
      <c r="SHJ204" s="605"/>
      <c r="SHK204" s="605"/>
      <c r="SHL204" s="605"/>
      <c r="SHM204" s="605"/>
      <c r="SHN204" s="605"/>
      <c r="SHO204" s="605"/>
      <c r="SHP204" s="605"/>
      <c r="SHQ204" s="605"/>
      <c r="SHR204" s="605"/>
      <c r="SHS204" s="605"/>
      <c r="SHT204" s="605"/>
      <c r="SHU204" s="605"/>
      <c r="SHV204" s="605"/>
      <c r="SHW204" s="605"/>
      <c r="SHX204" s="605"/>
      <c r="SHY204" s="605"/>
      <c r="SHZ204" s="605"/>
      <c r="SIA204" s="605"/>
      <c r="SIB204" s="605"/>
      <c r="SIC204" s="605"/>
      <c r="SID204" s="605"/>
      <c r="SIE204" s="605"/>
      <c r="SIF204" s="605"/>
      <c r="SIG204" s="605"/>
      <c r="SIH204" s="605"/>
      <c r="SII204" s="605"/>
      <c r="SIJ204" s="605"/>
      <c r="SIK204" s="605"/>
      <c r="SIL204" s="605"/>
      <c r="SIM204" s="605"/>
      <c r="SIN204" s="605"/>
      <c r="SIO204" s="605"/>
      <c r="SIP204" s="605"/>
      <c r="SIQ204" s="605"/>
      <c r="SIR204" s="605"/>
      <c r="SIS204" s="605"/>
      <c r="SIT204" s="605"/>
      <c r="SIU204" s="605"/>
      <c r="SIV204" s="605"/>
      <c r="SIW204" s="605"/>
      <c r="SIX204" s="605"/>
      <c r="SIY204" s="605"/>
      <c r="SIZ204" s="605"/>
      <c r="SJA204" s="605"/>
      <c r="SJB204" s="605"/>
      <c r="SJC204" s="605"/>
      <c r="SJD204" s="605"/>
      <c r="SJE204" s="605"/>
      <c r="SJF204" s="605"/>
      <c r="SJG204" s="605"/>
      <c r="SJH204" s="605"/>
      <c r="SJI204" s="605"/>
      <c r="SJJ204" s="605"/>
      <c r="SJK204" s="605"/>
      <c r="SJL204" s="605"/>
      <c r="SJM204" s="605"/>
      <c r="SJN204" s="605"/>
      <c r="SJO204" s="605"/>
      <c r="SJP204" s="605"/>
      <c r="SJQ204" s="605"/>
      <c r="SJR204" s="605"/>
      <c r="SJS204" s="605"/>
      <c r="SJT204" s="605"/>
      <c r="SJU204" s="605"/>
      <c r="SJV204" s="605"/>
      <c r="SJW204" s="605"/>
      <c r="SJX204" s="605"/>
      <c r="SJY204" s="605"/>
      <c r="SJZ204" s="605"/>
      <c r="SKA204" s="605"/>
      <c r="SKB204" s="605"/>
      <c r="SKC204" s="605"/>
      <c r="SKD204" s="605"/>
      <c r="SKE204" s="605"/>
      <c r="SKF204" s="605"/>
      <c r="SKG204" s="605"/>
      <c r="SKH204" s="605"/>
      <c r="SKI204" s="605"/>
      <c r="SKJ204" s="605"/>
      <c r="SKK204" s="605"/>
      <c r="SKL204" s="605"/>
      <c r="SKM204" s="605"/>
      <c r="SKN204" s="605"/>
      <c r="SKO204" s="605"/>
      <c r="SKP204" s="605"/>
      <c r="SKQ204" s="605"/>
      <c r="SKR204" s="605"/>
      <c r="SKS204" s="605"/>
      <c r="SKT204" s="605"/>
      <c r="SKU204" s="605"/>
      <c r="SKV204" s="605"/>
      <c r="SKW204" s="605"/>
      <c r="SKX204" s="605"/>
      <c r="SKY204" s="605"/>
      <c r="SKZ204" s="605"/>
      <c r="SLA204" s="605"/>
      <c r="SLB204" s="605"/>
      <c r="SLC204" s="605"/>
      <c r="SLD204" s="605"/>
      <c r="SLE204" s="605"/>
      <c r="SLF204" s="605"/>
      <c r="SLG204" s="605"/>
      <c r="SLH204" s="605"/>
      <c r="SLI204" s="605"/>
      <c r="SLJ204" s="605"/>
      <c r="SLK204" s="605"/>
      <c r="SLL204" s="605"/>
      <c r="SLM204" s="605"/>
      <c r="SLN204" s="605"/>
      <c r="SLO204" s="605"/>
      <c r="SLP204" s="605"/>
      <c r="SLQ204" s="605"/>
      <c r="SLR204" s="605"/>
      <c r="SLS204" s="605"/>
      <c r="SLT204" s="605"/>
      <c r="SLU204" s="605"/>
      <c r="SLV204" s="605"/>
      <c r="SLW204" s="605"/>
      <c r="SLX204" s="605"/>
      <c r="SLY204" s="605"/>
      <c r="SLZ204" s="605"/>
      <c r="SMA204" s="605"/>
      <c r="SMB204" s="605"/>
      <c r="SMC204" s="605"/>
      <c r="SMD204" s="605"/>
      <c r="SME204" s="605"/>
      <c r="SMF204" s="605"/>
      <c r="SMG204" s="605"/>
      <c r="SMH204" s="605"/>
      <c r="SMI204" s="605"/>
      <c r="SMJ204" s="605"/>
      <c r="SMK204" s="605"/>
      <c r="SML204" s="605"/>
      <c r="SMM204" s="605"/>
      <c r="SMN204" s="605"/>
      <c r="SMO204" s="605"/>
      <c r="SMP204" s="605"/>
      <c r="SMQ204" s="605"/>
      <c r="SMR204" s="605"/>
      <c r="SMS204" s="605"/>
      <c r="SMT204" s="605"/>
      <c r="SMU204" s="605"/>
      <c r="SMV204" s="605"/>
      <c r="SMW204" s="605"/>
      <c r="SMX204" s="605"/>
      <c r="SMY204" s="605"/>
      <c r="SMZ204" s="605"/>
      <c r="SNA204" s="605"/>
      <c r="SNB204" s="605"/>
      <c r="SNC204" s="605"/>
      <c r="SND204" s="605"/>
      <c r="SNE204" s="605"/>
      <c r="SNF204" s="605"/>
      <c r="SNG204" s="605"/>
      <c r="SNH204" s="605"/>
      <c r="SNI204" s="605"/>
      <c r="SNJ204" s="605"/>
      <c r="SNK204" s="605"/>
      <c r="SNL204" s="605"/>
      <c r="SNM204" s="605"/>
      <c r="SNN204" s="605"/>
      <c r="SNO204" s="605"/>
      <c r="SNP204" s="605"/>
      <c r="SNQ204" s="605"/>
      <c r="SNR204" s="605"/>
      <c r="SNS204" s="605"/>
      <c r="SNT204" s="605"/>
      <c r="SNU204" s="605"/>
      <c r="SNV204" s="605"/>
      <c r="SNW204" s="605"/>
      <c r="SNX204" s="605"/>
      <c r="SNY204" s="605"/>
      <c r="SNZ204" s="605"/>
      <c r="SOA204" s="605"/>
      <c r="SOB204" s="605"/>
      <c r="SOC204" s="605"/>
      <c r="SOD204" s="605"/>
      <c r="SOE204" s="605"/>
      <c r="SOF204" s="605"/>
      <c r="SOG204" s="605"/>
      <c r="SOH204" s="605"/>
      <c r="SOI204" s="605"/>
      <c r="SOJ204" s="605"/>
      <c r="SOK204" s="605"/>
      <c r="SOL204" s="605"/>
      <c r="SOM204" s="605"/>
      <c r="SON204" s="605"/>
      <c r="SOO204" s="605"/>
      <c r="SOP204" s="605"/>
      <c r="SOQ204" s="605"/>
      <c r="SOR204" s="605"/>
      <c r="SOS204" s="605"/>
      <c r="SOT204" s="605"/>
      <c r="SOU204" s="605"/>
      <c r="SOV204" s="605"/>
      <c r="SOW204" s="605"/>
      <c r="SOX204" s="605"/>
      <c r="SOY204" s="605"/>
      <c r="SOZ204" s="605"/>
      <c r="SPA204" s="605"/>
      <c r="SPB204" s="605"/>
      <c r="SPC204" s="605"/>
      <c r="SPD204" s="605"/>
      <c r="SPE204" s="605"/>
      <c r="SPF204" s="605"/>
      <c r="SPG204" s="605"/>
      <c r="SPH204" s="605"/>
      <c r="SPI204" s="605"/>
      <c r="SPJ204" s="605"/>
      <c r="SPK204" s="605"/>
      <c r="SPL204" s="605"/>
      <c r="SPM204" s="605"/>
      <c r="SPN204" s="605"/>
      <c r="SPO204" s="605"/>
      <c r="SPP204" s="605"/>
      <c r="SPQ204" s="605"/>
      <c r="SPR204" s="605"/>
      <c r="SPS204" s="605"/>
      <c r="SPT204" s="605"/>
      <c r="SPU204" s="605"/>
      <c r="SPV204" s="605"/>
      <c r="SPW204" s="605"/>
      <c r="SPX204" s="605"/>
      <c r="SPY204" s="605"/>
      <c r="SPZ204" s="605"/>
      <c r="SQA204" s="605"/>
      <c r="SQB204" s="605"/>
      <c r="SQC204" s="605"/>
      <c r="SQD204" s="605"/>
      <c r="SQE204" s="605"/>
      <c r="SQF204" s="605"/>
      <c r="SQG204" s="605"/>
      <c r="SQH204" s="605"/>
      <c r="SQI204" s="605"/>
      <c r="SQJ204" s="605"/>
      <c r="SQK204" s="605"/>
      <c r="SQL204" s="605"/>
      <c r="SQM204" s="605"/>
      <c r="SQN204" s="605"/>
      <c r="SQO204" s="605"/>
      <c r="SQP204" s="605"/>
      <c r="SQQ204" s="605"/>
      <c r="SQR204" s="605"/>
      <c r="SQS204" s="605"/>
      <c r="SQT204" s="605"/>
      <c r="SQU204" s="605"/>
      <c r="SQV204" s="605"/>
      <c r="SQW204" s="605"/>
      <c r="SQX204" s="605"/>
      <c r="SQY204" s="605"/>
      <c r="SQZ204" s="605"/>
      <c r="SRA204" s="605"/>
      <c r="SRB204" s="605"/>
      <c r="SRC204" s="605"/>
      <c r="SRD204" s="605"/>
      <c r="SRE204" s="605"/>
      <c r="SRF204" s="605"/>
      <c r="SRG204" s="605"/>
      <c r="SRH204" s="605"/>
      <c r="SRI204" s="605"/>
      <c r="SRJ204" s="605"/>
      <c r="SRK204" s="605"/>
      <c r="SRL204" s="605"/>
      <c r="SRM204" s="605"/>
      <c r="SRN204" s="605"/>
      <c r="SRO204" s="605"/>
      <c r="SRP204" s="605"/>
      <c r="SRQ204" s="605"/>
      <c r="SRR204" s="605"/>
      <c r="SRS204" s="605"/>
      <c r="SRT204" s="605"/>
      <c r="SRU204" s="605"/>
      <c r="SRV204" s="605"/>
      <c r="SRW204" s="605"/>
      <c r="SRX204" s="605"/>
      <c r="SRY204" s="605"/>
      <c r="SRZ204" s="605"/>
      <c r="SSA204" s="605"/>
      <c r="SSB204" s="605"/>
      <c r="SSC204" s="605"/>
      <c r="SSD204" s="605"/>
      <c r="SSE204" s="605"/>
      <c r="SSF204" s="605"/>
      <c r="SSG204" s="605"/>
      <c r="SSH204" s="605"/>
      <c r="SSI204" s="605"/>
      <c r="SSJ204" s="605"/>
      <c r="SSK204" s="605"/>
      <c r="SSL204" s="605"/>
      <c r="SSM204" s="605"/>
      <c r="SSN204" s="605"/>
      <c r="SSO204" s="605"/>
      <c r="SSP204" s="605"/>
      <c r="SSQ204" s="605"/>
      <c r="SSR204" s="605"/>
      <c r="SSS204" s="605"/>
      <c r="SST204" s="605"/>
      <c r="SSU204" s="605"/>
      <c r="SSV204" s="605"/>
      <c r="SSW204" s="605"/>
      <c r="SSX204" s="605"/>
      <c r="SSY204" s="605"/>
      <c r="SSZ204" s="605"/>
      <c r="STA204" s="605"/>
      <c r="STB204" s="605"/>
      <c r="STC204" s="605"/>
      <c r="STD204" s="605"/>
      <c r="STE204" s="605"/>
      <c r="STF204" s="605"/>
      <c r="STG204" s="605"/>
      <c r="STH204" s="605"/>
      <c r="STI204" s="605"/>
      <c r="STJ204" s="605"/>
      <c r="STK204" s="605"/>
      <c r="STL204" s="605"/>
      <c r="STM204" s="605"/>
      <c r="STN204" s="605"/>
      <c r="STO204" s="605"/>
      <c r="STP204" s="605"/>
      <c r="STQ204" s="605"/>
      <c r="STR204" s="605"/>
      <c r="STS204" s="605"/>
      <c r="STT204" s="605"/>
      <c r="STU204" s="605"/>
      <c r="STV204" s="605"/>
      <c r="STW204" s="605"/>
      <c r="STX204" s="605"/>
      <c r="STY204" s="605"/>
      <c r="STZ204" s="605"/>
      <c r="SUA204" s="605"/>
      <c r="SUB204" s="605"/>
      <c r="SUC204" s="605"/>
      <c r="SUD204" s="605"/>
      <c r="SUE204" s="605"/>
      <c r="SUF204" s="605"/>
      <c r="SUG204" s="605"/>
      <c r="SUH204" s="605"/>
      <c r="SUI204" s="605"/>
      <c r="SUJ204" s="605"/>
      <c r="SUK204" s="605"/>
      <c r="SUL204" s="605"/>
      <c r="SUM204" s="605"/>
      <c r="SUN204" s="605"/>
      <c r="SUO204" s="605"/>
      <c r="SUP204" s="605"/>
      <c r="SUQ204" s="605"/>
      <c r="SUR204" s="605"/>
      <c r="SUS204" s="605"/>
      <c r="SUT204" s="605"/>
      <c r="SUU204" s="605"/>
      <c r="SUV204" s="605"/>
      <c r="SUW204" s="605"/>
      <c r="SUX204" s="605"/>
      <c r="SUY204" s="605"/>
      <c r="SUZ204" s="605"/>
      <c r="SVA204" s="605"/>
      <c r="SVB204" s="605"/>
      <c r="SVC204" s="605"/>
      <c r="SVD204" s="605"/>
      <c r="SVE204" s="605"/>
      <c r="SVF204" s="605"/>
      <c r="SVG204" s="605"/>
      <c r="SVH204" s="605"/>
      <c r="SVI204" s="605"/>
      <c r="SVJ204" s="605"/>
      <c r="SVK204" s="605"/>
      <c r="SVL204" s="605"/>
      <c r="SVM204" s="605"/>
      <c r="SVN204" s="605"/>
      <c r="SVO204" s="605"/>
      <c r="SVP204" s="605"/>
      <c r="SVQ204" s="605"/>
      <c r="SVR204" s="605"/>
      <c r="SVS204" s="605"/>
      <c r="SVT204" s="605"/>
      <c r="SVU204" s="605"/>
      <c r="SVV204" s="605"/>
      <c r="SVW204" s="605"/>
      <c r="SVX204" s="605"/>
      <c r="SVY204" s="605"/>
      <c r="SVZ204" s="605"/>
      <c r="SWA204" s="605"/>
      <c r="SWB204" s="605"/>
      <c r="SWC204" s="605"/>
      <c r="SWD204" s="605"/>
      <c r="SWE204" s="605"/>
      <c r="SWF204" s="605"/>
      <c r="SWG204" s="605"/>
      <c r="SWH204" s="605"/>
      <c r="SWI204" s="605"/>
      <c r="SWJ204" s="605"/>
      <c r="SWK204" s="605"/>
      <c r="SWL204" s="605"/>
      <c r="SWM204" s="605"/>
      <c r="SWN204" s="605"/>
      <c r="SWO204" s="605"/>
      <c r="SWP204" s="605"/>
      <c r="SWQ204" s="605"/>
      <c r="SWR204" s="605"/>
      <c r="SWS204" s="605"/>
      <c r="SWT204" s="605"/>
      <c r="SWU204" s="605"/>
      <c r="SWV204" s="605"/>
      <c r="SWW204" s="605"/>
      <c r="SWX204" s="605"/>
      <c r="SWY204" s="605"/>
      <c r="SWZ204" s="605"/>
      <c r="SXA204" s="605"/>
      <c r="SXB204" s="605"/>
      <c r="SXC204" s="605"/>
      <c r="SXD204" s="605"/>
      <c r="SXE204" s="605"/>
      <c r="SXF204" s="605"/>
      <c r="SXG204" s="605"/>
      <c r="SXH204" s="605"/>
      <c r="SXI204" s="605"/>
      <c r="SXJ204" s="605"/>
      <c r="SXK204" s="605"/>
      <c r="SXL204" s="605"/>
      <c r="SXM204" s="605"/>
      <c r="SXN204" s="605"/>
      <c r="SXO204" s="605"/>
      <c r="SXP204" s="605"/>
      <c r="SXQ204" s="605"/>
      <c r="SXR204" s="605"/>
      <c r="SXS204" s="605"/>
      <c r="SXT204" s="605"/>
      <c r="SXU204" s="605"/>
      <c r="SXV204" s="605"/>
      <c r="SXW204" s="605"/>
      <c r="SXX204" s="605"/>
      <c r="SXY204" s="605"/>
      <c r="SXZ204" s="605"/>
      <c r="SYA204" s="605"/>
      <c r="SYB204" s="605"/>
      <c r="SYC204" s="605"/>
      <c r="SYD204" s="605"/>
      <c r="SYE204" s="605"/>
      <c r="SYF204" s="605"/>
      <c r="SYG204" s="605"/>
      <c r="SYH204" s="605"/>
      <c r="SYI204" s="605"/>
      <c r="SYJ204" s="605"/>
      <c r="SYK204" s="605"/>
      <c r="SYL204" s="605"/>
      <c r="SYM204" s="605"/>
      <c r="SYN204" s="605"/>
      <c r="SYO204" s="605"/>
      <c r="SYP204" s="605"/>
      <c r="SYQ204" s="605"/>
      <c r="SYR204" s="605"/>
      <c r="SYS204" s="605"/>
      <c r="SYT204" s="605"/>
      <c r="SYU204" s="605"/>
      <c r="SYV204" s="605"/>
      <c r="SYW204" s="605"/>
      <c r="SYX204" s="605"/>
      <c r="SYY204" s="605"/>
      <c r="SYZ204" s="605"/>
      <c r="SZA204" s="605"/>
      <c r="SZB204" s="605"/>
      <c r="SZC204" s="605"/>
      <c r="SZD204" s="605"/>
      <c r="SZE204" s="605"/>
      <c r="SZF204" s="605"/>
      <c r="SZG204" s="605"/>
      <c r="SZH204" s="605"/>
      <c r="SZI204" s="605"/>
      <c r="SZJ204" s="605"/>
      <c r="SZK204" s="605"/>
      <c r="SZL204" s="605"/>
      <c r="SZM204" s="605"/>
      <c r="SZN204" s="605"/>
      <c r="SZO204" s="605"/>
      <c r="SZP204" s="605"/>
      <c r="SZQ204" s="605"/>
      <c r="SZR204" s="605"/>
      <c r="SZS204" s="605"/>
      <c r="SZT204" s="605"/>
      <c r="SZU204" s="605"/>
      <c r="SZV204" s="605"/>
      <c r="SZW204" s="605"/>
      <c r="SZX204" s="605"/>
      <c r="SZY204" s="605"/>
      <c r="SZZ204" s="605"/>
      <c r="TAA204" s="605"/>
      <c r="TAB204" s="605"/>
      <c r="TAC204" s="605"/>
      <c r="TAD204" s="605"/>
      <c r="TAE204" s="605"/>
      <c r="TAF204" s="605"/>
      <c r="TAG204" s="605"/>
      <c r="TAH204" s="605"/>
      <c r="TAI204" s="605"/>
      <c r="TAJ204" s="605"/>
      <c r="TAK204" s="605"/>
      <c r="TAL204" s="605"/>
      <c r="TAM204" s="605"/>
      <c r="TAN204" s="605"/>
      <c r="TAO204" s="605"/>
      <c r="TAP204" s="605"/>
      <c r="TAQ204" s="605"/>
      <c r="TAR204" s="605"/>
      <c r="TAS204" s="605"/>
      <c r="TAT204" s="605"/>
      <c r="TAU204" s="605"/>
      <c r="TAV204" s="605"/>
      <c r="TAW204" s="605"/>
      <c r="TAX204" s="605"/>
      <c r="TAY204" s="605"/>
      <c r="TAZ204" s="605"/>
      <c r="TBA204" s="605"/>
      <c r="TBB204" s="605"/>
      <c r="TBC204" s="605"/>
      <c r="TBD204" s="605"/>
      <c r="TBE204" s="605"/>
      <c r="TBF204" s="605"/>
      <c r="TBG204" s="605"/>
      <c r="TBH204" s="605"/>
      <c r="TBI204" s="605"/>
      <c r="TBJ204" s="605"/>
      <c r="TBK204" s="605"/>
      <c r="TBL204" s="605"/>
      <c r="TBM204" s="605"/>
      <c r="TBN204" s="605"/>
      <c r="TBO204" s="605"/>
      <c r="TBP204" s="605"/>
      <c r="TBQ204" s="605"/>
      <c r="TBR204" s="605"/>
      <c r="TBS204" s="605"/>
      <c r="TBT204" s="605"/>
      <c r="TBU204" s="605"/>
      <c r="TBV204" s="605"/>
      <c r="TBW204" s="605"/>
      <c r="TBX204" s="605"/>
      <c r="TBY204" s="605"/>
      <c r="TBZ204" s="605"/>
      <c r="TCA204" s="605"/>
      <c r="TCB204" s="605"/>
      <c r="TCC204" s="605"/>
      <c r="TCD204" s="605"/>
      <c r="TCE204" s="605"/>
      <c r="TCF204" s="605"/>
      <c r="TCG204" s="605"/>
      <c r="TCH204" s="605"/>
      <c r="TCI204" s="605"/>
      <c r="TCJ204" s="605"/>
      <c r="TCK204" s="605"/>
      <c r="TCL204" s="605"/>
      <c r="TCM204" s="605"/>
      <c r="TCN204" s="605"/>
      <c r="TCO204" s="605"/>
      <c r="TCP204" s="605"/>
      <c r="TCQ204" s="605"/>
      <c r="TCR204" s="605"/>
      <c r="TCS204" s="605"/>
      <c r="TCT204" s="605"/>
      <c r="TCU204" s="605"/>
      <c r="TCV204" s="605"/>
      <c r="TCW204" s="605"/>
      <c r="TCX204" s="605"/>
      <c r="TCY204" s="605"/>
      <c r="TCZ204" s="605"/>
      <c r="TDA204" s="605"/>
      <c r="TDB204" s="605"/>
      <c r="TDC204" s="605"/>
      <c r="TDD204" s="605"/>
      <c r="TDE204" s="605"/>
      <c r="TDF204" s="605"/>
      <c r="TDG204" s="605"/>
      <c r="TDH204" s="605"/>
      <c r="TDI204" s="605"/>
      <c r="TDJ204" s="605"/>
      <c r="TDK204" s="605"/>
      <c r="TDL204" s="605"/>
      <c r="TDM204" s="605"/>
      <c r="TDN204" s="605"/>
      <c r="TDO204" s="605"/>
      <c r="TDP204" s="605"/>
      <c r="TDQ204" s="605"/>
      <c r="TDR204" s="605"/>
      <c r="TDS204" s="605"/>
      <c r="TDT204" s="605"/>
      <c r="TDU204" s="605"/>
      <c r="TDV204" s="605"/>
      <c r="TDW204" s="605"/>
      <c r="TDX204" s="605"/>
      <c r="TDY204" s="605"/>
      <c r="TDZ204" s="605"/>
      <c r="TEA204" s="605"/>
      <c r="TEB204" s="605"/>
      <c r="TEC204" s="605"/>
      <c r="TED204" s="605"/>
      <c r="TEE204" s="605"/>
      <c r="TEF204" s="605"/>
      <c r="TEG204" s="605"/>
      <c r="TEH204" s="605"/>
      <c r="TEI204" s="605"/>
      <c r="TEJ204" s="605"/>
      <c r="TEK204" s="605"/>
      <c r="TEL204" s="605"/>
      <c r="TEM204" s="605"/>
      <c r="TEN204" s="605"/>
      <c r="TEO204" s="605"/>
      <c r="TEP204" s="605"/>
      <c r="TEQ204" s="605"/>
      <c r="TER204" s="605"/>
      <c r="TES204" s="605"/>
      <c r="TET204" s="605"/>
      <c r="TEU204" s="605"/>
      <c r="TEV204" s="605"/>
      <c r="TEW204" s="605"/>
      <c r="TEX204" s="605"/>
      <c r="TEY204" s="605"/>
      <c r="TEZ204" s="605"/>
      <c r="TFA204" s="605"/>
      <c r="TFB204" s="605"/>
      <c r="TFC204" s="605"/>
      <c r="TFD204" s="605"/>
      <c r="TFE204" s="605"/>
      <c r="TFF204" s="605"/>
      <c r="TFG204" s="605"/>
      <c r="TFH204" s="605"/>
      <c r="TFI204" s="605"/>
      <c r="TFJ204" s="605"/>
      <c r="TFK204" s="605"/>
      <c r="TFL204" s="605"/>
      <c r="TFM204" s="605"/>
      <c r="TFN204" s="605"/>
      <c r="TFO204" s="605"/>
      <c r="TFP204" s="605"/>
      <c r="TFQ204" s="605"/>
      <c r="TFR204" s="605"/>
      <c r="TFS204" s="605"/>
      <c r="TFT204" s="605"/>
      <c r="TFU204" s="605"/>
      <c r="TFV204" s="605"/>
      <c r="TFW204" s="605"/>
      <c r="TFX204" s="605"/>
      <c r="TFY204" s="605"/>
      <c r="TFZ204" s="605"/>
      <c r="TGA204" s="605"/>
      <c r="TGB204" s="605"/>
      <c r="TGC204" s="605"/>
      <c r="TGD204" s="605"/>
      <c r="TGE204" s="605"/>
      <c r="TGF204" s="605"/>
      <c r="TGG204" s="605"/>
      <c r="TGH204" s="605"/>
      <c r="TGI204" s="605"/>
      <c r="TGJ204" s="605"/>
      <c r="TGK204" s="605"/>
      <c r="TGL204" s="605"/>
      <c r="TGM204" s="605"/>
      <c r="TGN204" s="605"/>
      <c r="TGO204" s="605"/>
      <c r="TGP204" s="605"/>
      <c r="TGQ204" s="605"/>
      <c r="TGR204" s="605"/>
      <c r="TGS204" s="605"/>
      <c r="TGT204" s="605"/>
      <c r="TGU204" s="605"/>
      <c r="TGV204" s="605"/>
      <c r="TGW204" s="605"/>
      <c r="TGX204" s="605"/>
      <c r="TGY204" s="605"/>
      <c r="TGZ204" s="605"/>
      <c r="THA204" s="605"/>
      <c r="THB204" s="605"/>
      <c r="THC204" s="605"/>
      <c r="THD204" s="605"/>
      <c r="THE204" s="605"/>
      <c r="THF204" s="605"/>
      <c r="THG204" s="605"/>
      <c r="THH204" s="605"/>
      <c r="THI204" s="605"/>
      <c r="THJ204" s="605"/>
      <c r="THK204" s="605"/>
      <c r="THL204" s="605"/>
      <c r="THM204" s="605"/>
      <c r="THN204" s="605"/>
      <c r="THO204" s="605"/>
      <c r="THP204" s="605"/>
      <c r="THQ204" s="605"/>
      <c r="THR204" s="605"/>
      <c r="THS204" s="605"/>
      <c r="THT204" s="605"/>
      <c r="THU204" s="605"/>
      <c r="THV204" s="605"/>
      <c r="THW204" s="605"/>
      <c r="THX204" s="605"/>
      <c r="THY204" s="605"/>
      <c r="THZ204" s="605"/>
      <c r="TIA204" s="605"/>
      <c r="TIB204" s="605"/>
      <c r="TIC204" s="605"/>
      <c r="TID204" s="605"/>
      <c r="TIE204" s="605"/>
      <c r="TIF204" s="605"/>
      <c r="TIG204" s="605"/>
      <c r="TIH204" s="605"/>
      <c r="TII204" s="605"/>
      <c r="TIJ204" s="605"/>
      <c r="TIK204" s="605"/>
      <c r="TIL204" s="605"/>
      <c r="TIM204" s="605"/>
      <c r="TIN204" s="605"/>
      <c r="TIO204" s="605"/>
      <c r="TIP204" s="605"/>
      <c r="TIQ204" s="605"/>
      <c r="TIR204" s="605"/>
      <c r="TIS204" s="605"/>
      <c r="TIT204" s="605"/>
      <c r="TIU204" s="605"/>
      <c r="TIV204" s="605"/>
      <c r="TIW204" s="605"/>
      <c r="TIX204" s="605"/>
      <c r="TIY204" s="605"/>
      <c r="TIZ204" s="605"/>
      <c r="TJA204" s="605"/>
      <c r="TJB204" s="605"/>
      <c r="TJC204" s="605"/>
      <c r="TJD204" s="605"/>
      <c r="TJE204" s="605"/>
      <c r="TJF204" s="605"/>
      <c r="TJG204" s="605"/>
      <c r="TJH204" s="605"/>
      <c r="TJI204" s="605"/>
      <c r="TJJ204" s="605"/>
      <c r="TJK204" s="605"/>
      <c r="TJL204" s="605"/>
      <c r="TJM204" s="605"/>
      <c r="TJN204" s="605"/>
      <c r="TJO204" s="605"/>
      <c r="TJP204" s="605"/>
      <c r="TJQ204" s="605"/>
      <c r="TJR204" s="605"/>
      <c r="TJS204" s="605"/>
      <c r="TJT204" s="605"/>
      <c r="TJU204" s="605"/>
      <c r="TJV204" s="605"/>
      <c r="TJW204" s="605"/>
      <c r="TJX204" s="605"/>
      <c r="TJY204" s="605"/>
      <c r="TJZ204" s="605"/>
      <c r="TKA204" s="605"/>
      <c r="TKB204" s="605"/>
      <c r="TKC204" s="605"/>
      <c r="TKD204" s="605"/>
      <c r="TKE204" s="605"/>
      <c r="TKF204" s="605"/>
      <c r="TKG204" s="605"/>
      <c r="TKH204" s="605"/>
      <c r="TKI204" s="605"/>
      <c r="TKJ204" s="605"/>
      <c r="TKK204" s="605"/>
      <c r="TKL204" s="605"/>
      <c r="TKM204" s="605"/>
      <c r="TKN204" s="605"/>
      <c r="TKO204" s="605"/>
      <c r="TKP204" s="605"/>
      <c r="TKQ204" s="605"/>
      <c r="TKR204" s="605"/>
      <c r="TKS204" s="605"/>
      <c r="TKT204" s="605"/>
      <c r="TKU204" s="605"/>
      <c r="TKV204" s="605"/>
      <c r="TKW204" s="605"/>
      <c r="TKX204" s="605"/>
      <c r="TKY204" s="605"/>
      <c r="TKZ204" s="605"/>
      <c r="TLA204" s="605"/>
      <c r="TLB204" s="605"/>
      <c r="TLC204" s="605"/>
      <c r="TLD204" s="605"/>
      <c r="TLE204" s="605"/>
      <c r="TLF204" s="605"/>
      <c r="TLG204" s="605"/>
      <c r="TLH204" s="605"/>
      <c r="TLI204" s="605"/>
      <c r="TLJ204" s="605"/>
      <c r="TLK204" s="605"/>
      <c r="TLL204" s="605"/>
      <c r="TLM204" s="605"/>
      <c r="TLN204" s="605"/>
      <c r="TLO204" s="605"/>
      <c r="TLP204" s="605"/>
      <c r="TLQ204" s="605"/>
      <c r="TLR204" s="605"/>
      <c r="TLS204" s="605"/>
      <c r="TLT204" s="605"/>
      <c r="TLU204" s="605"/>
      <c r="TLV204" s="605"/>
      <c r="TLW204" s="605"/>
      <c r="TLX204" s="605"/>
      <c r="TLY204" s="605"/>
      <c r="TLZ204" s="605"/>
      <c r="TMA204" s="605"/>
      <c r="TMB204" s="605"/>
      <c r="TMC204" s="605"/>
      <c r="TMD204" s="605"/>
      <c r="TME204" s="605"/>
      <c r="TMF204" s="605"/>
      <c r="TMG204" s="605"/>
      <c r="TMH204" s="605"/>
      <c r="TMI204" s="605"/>
      <c r="TMJ204" s="605"/>
      <c r="TMK204" s="605"/>
      <c r="TML204" s="605"/>
      <c r="TMM204" s="605"/>
      <c r="TMN204" s="605"/>
      <c r="TMO204" s="605"/>
      <c r="TMP204" s="605"/>
      <c r="TMQ204" s="605"/>
      <c r="TMR204" s="605"/>
      <c r="TMS204" s="605"/>
      <c r="TMT204" s="605"/>
      <c r="TMU204" s="605"/>
      <c r="TMV204" s="605"/>
      <c r="TMW204" s="605"/>
      <c r="TMX204" s="605"/>
      <c r="TMY204" s="605"/>
      <c r="TMZ204" s="605"/>
      <c r="TNA204" s="605"/>
      <c r="TNB204" s="605"/>
      <c r="TNC204" s="605"/>
      <c r="TND204" s="605"/>
      <c r="TNE204" s="605"/>
      <c r="TNF204" s="605"/>
      <c r="TNG204" s="605"/>
      <c r="TNH204" s="605"/>
      <c r="TNI204" s="605"/>
      <c r="TNJ204" s="605"/>
      <c r="TNK204" s="605"/>
      <c r="TNL204" s="605"/>
      <c r="TNM204" s="605"/>
      <c r="TNN204" s="605"/>
      <c r="TNO204" s="605"/>
      <c r="TNP204" s="605"/>
      <c r="TNQ204" s="605"/>
      <c r="TNR204" s="605"/>
      <c r="TNS204" s="605"/>
      <c r="TNT204" s="605"/>
      <c r="TNU204" s="605"/>
      <c r="TNV204" s="605"/>
      <c r="TNW204" s="605"/>
      <c r="TNX204" s="605"/>
      <c r="TNY204" s="605"/>
      <c r="TNZ204" s="605"/>
      <c r="TOA204" s="605"/>
      <c r="TOB204" s="605"/>
      <c r="TOC204" s="605"/>
      <c r="TOD204" s="605"/>
      <c r="TOE204" s="605"/>
      <c r="TOF204" s="605"/>
      <c r="TOG204" s="605"/>
      <c r="TOH204" s="605"/>
      <c r="TOI204" s="605"/>
      <c r="TOJ204" s="605"/>
      <c r="TOK204" s="605"/>
      <c r="TOL204" s="605"/>
      <c r="TOM204" s="605"/>
      <c r="TON204" s="605"/>
      <c r="TOO204" s="605"/>
      <c r="TOP204" s="605"/>
      <c r="TOQ204" s="605"/>
      <c r="TOR204" s="605"/>
      <c r="TOS204" s="605"/>
      <c r="TOT204" s="605"/>
      <c r="TOU204" s="605"/>
      <c r="TOV204" s="605"/>
      <c r="TOW204" s="605"/>
      <c r="TOX204" s="605"/>
      <c r="TOY204" s="605"/>
      <c r="TOZ204" s="605"/>
      <c r="TPA204" s="605"/>
      <c r="TPB204" s="605"/>
      <c r="TPC204" s="605"/>
      <c r="TPD204" s="605"/>
      <c r="TPE204" s="605"/>
      <c r="TPF204" s="605"/>
      <c r="TPG204" s="605"/>
      <c r="TPH204" s="605"/>
      <c r="TPI204" s="605"/>
      <c r="TPJ204" s="605"/>
      <c r="TPK204" s="605"/>
      <c r="TPL204" s="605"/>
      <c r="TPM204" s="605"/>
      <c r="TPN204" s="605"/>
      <c r="TPO204" s="605"/>
      <c r="TPP204" s="605"/>
      <c r="TPQ204" s="605"/>
      <c r="TPR204" s="605"/>
      <c r="TPS204" s="605"/>
      <c r="TPT204" s="605"/>
      <c r="TPU204" s="605"/>
      <c r="TPV204" s="605"/>
      <c r="TPW204" s="605"/>
      <c r="TPX204" s="605"/>
      <c r="TPY204" s="605"/>
      <c r="TPZ204" s="605"/>
      <c r="TQA204" s="605"/>
      <c r="TQB204" s="605"/>
      <c r="TQC204" s="605"/>
      <c r="TQD204" s="605"/>
      <c r="TQE204" s="605"/>
      <c r="TQF204" s="605"/>
      <c r="TQG204" s="605"/>
      <c r="TQH204" s="605"/>
      <c r="TQI204" s="605"/>
      <c r="TQJ204" s="605"/>
      <c r="TQK204" s="605"/>
      <c r="TQL204" s="605"/>
      <c r="TQM204" s="605"/>
      <c r="TQN204" s="605"/>
      <c r="TQO204" s="605"/>
      <c r="TQP204" s="605"/>
      <c r="TQQ204" s="605"/>
      <c r="TQR204" s="605"/>
      <c r="TQS204" s="605"/>
      <c r="TQT204" s="605"/>
      <c r="TQU204" s="605"/>
      <c r="TQV204" s="605"/>
      <c r="TQW204" s="605"/>
      <c r="TQX204" s="605"/>
      <c r="TQY204" s="605"/>
      <c r="TQZ204" s="605"/>
      <c r="TRA204" s="605"/>
      <c r="TRB204" s="605"/>
      <c r="TRC204" s="605"/>
      <c r="TRD204" s="605"/>
      <c r="TRE204" s="605"/>
      <c r="TRF204" s="605"/>
      <c r="TRG204" s="605"/>
      <c r="TRH204" s="605"/>
      <c r="TRI204" s="605"/>
      <c r="TRJ204" s="605"/>
      <c r="TRK204" s="605"/>
      <c r="TRL204" s="605"/>
      <c r="TRM204" s="605"/>
      <c r="TRN204" s="605"/>
      <c r="TRO204" s="605"/>
      <c r="TRP204" s="605"/>
      <c r="TRQ204" s="605"/>
      <c r="TRR204" s="605"/>
      <c r="TRS204" s="605"/>
      <c r="TRT204" s="605"/>
      <c r="TRU204" s="605"/>
      <c r="TRV204" s="605"/>
      <c r="TRW204" s="605"/>
      <c r="TRX204" s="605"/>
      <c r="TRY204" s="605"/>
      <c r="TRZ204" s="605"/>
      <c r="TSA204" s="605"/>
      <c r="TSB204" s="605"/>
      <c r="TSC204" s="605"/>
      <c r="TSD204" s="605"/>
      <c r="TSE204" s="605"/>
      <c r="TSF204" s="605"/>
      <c r="TSG204" s="605"/>
      <c r="TSH204" s="605"/>
      <c r="TSI204" s="605"/>
      <c r="TSJ204" s="605"/>
      <c r="TSK204" s="605"/>
      <c r="TSL204" s="605"/>
      <c r="TSM204" s="605"/>
      <c r="TSN204" s="605"/>
      <c r="TSO204" s="605"/>
      <c r="TSP204" s="605"/>
      <c r="TSQ204" s="605"/>
      <c r="TSR204" s="605"/>
      <c r="TSS204" s="605"/>
      <c r="TST204" s="605"/>
      <c r="TSU204" s="605"/>
      <c r="TSV204" s="605"/>
      <c r="TSW204" s="605"/>
      <c r="TSX204" s="605"/>
      <c r="TSY204" s="605"/>
      <c r="TSZ204" s="605"/>
      <c r="TTA204" s="605"/>
      <c r="TTB204" s="605"/>
      <c r="TTC204" s="605"/>
      <c r="TTD204" s="605"/>
      <c r="TTE204" s="605"/>
      <c r="TTF204" s="605"/>
      <c r="TTG204" s="605"/>
      <c r="TTH204" s="605"/>
      <c r="TTI204" s="605"/>
      <c r="TTJ204" s="605"/>
      <c r="TTK204" s="605"/>
      <c r="TTL204" s="605"/>
      <c r="TTM204" s="605"/>
      <c r="TTN204" s="605"/>
      <c r="TTO204" s="605"/>
      <c r="TTP204" s="605"/>
      <c r="TTQ204" s="605"/>
      <c r="TTR204" s="605"/>
      <c r="TTS204" s="605"/>
      <c r="TTT204" s="605"/>
      <c r="TTU204" s="605"/>
      <c r="TTV204" s="605"/>
      <c r="TTW204" s="605"/>
      <c r="TTX204" s="605"/>
      <c r="TTY204" s="605"/>
      <c r="TTZ204" s="605"/>
      <c r="TUA204" s="605"/>
      <c r="TUB204" s="605"/>
      <c r="TUC204" s="605"/>
      <c r="TUD204" s="605"/>
      <c r="TUE204" s="605"/>
      <c r="TUF204" s="605"/>
      <c r="TUG204" s="605"/>
      <c r="TUH204" s="605"/>
      <c r="TUI204" s="605"/>
      <c r="TUJ204" s="605"/>
      <c r="TUK204" s="605"/>
      <c r="TUL204" s="605"/>
      <c r="TUM204" s="605"/>
      <c r="TUN204" s="605"/>
      <c r="TUO204" s="605"/>
      <c r="TUP204" s="605"/>
      <c r="TUQ204" s="605"/>
      <c r="TUR204" s="605"/>
      <c r="TUS204" s="605"/>
      <c r="TUT204" s="605"/>
      <c r="TUU204" s="605"/>
      <c r="TUV204" s="605"/>
      <c r="TUW204" s="605"/>
      <c r="TUX204" s="605"/>
      <c r="TUY204" s="605"/>
      <c r="TUZ204" s="605"/>
      <c r="TVA204" s="605"/>
      <c r="TVB204" s="605"/>
      <c r="TVC204" s="605"/>
      <c r="TVD204" s="605"/>
      <c r="TVE204" s="605"/>
      <c r="TVF204" s="605"/>
      <c r="TVG204" s="605"/>
      <c r="TVH204" s="605"/>
      <c r="TVI204" s="605"/>
      <c r="TVJ204" s="605"/>
      <c r="TVK204" s="605"/>
      <c r="TVL204" s="605"/>
      <c r="TVM204" s="605"/>
      <c r="TVN204" s="605"/>
      <c r="TVO204" s="605"/>
      <c r="TVP204" s="605"/>
      <c r="TVQ204" s="605"/>
      <c r="TVR204" s="605"/>
      <c r="TVS204" s="605"/>
      <c r="TVT204" s="605"/>
      <c r="TVU204" s="605"/>
      <c r="TVV204" s="605"/>
      <c r="TVW204" s="605"/>
      <c r="TVX204" s="605"/>
      <c r="TVY204" s="605"/>
      <c r="TVZ204" s="605"/>
      <c r="TWA204" s="605"/>
      <c r="TWB204" s="605"/>
      <c r="TWC204" s="605"/>
      <c r="TWD204" s="605"/>
      <c r="TWE204" s="605"/>
      <c r="TWF204" s="605"/>
      <c r="TWG204" s="605"/>
      <c r="TWH204" s="605"/>
      <c r="TWI204" s="605"/>
      <c r="TWJ204" s="605"/>
      <c r="TWK204" s="605"/>
      <c r="TWL204" s="605"/>
      <c r="TWM204" s="605"/>
      <c r="TWN204" s="605"/>
      <c r="TWO204" s="605"/>
      <c r="TWP204" s="605"/>
      <c r="TWQ204" s="605"/>
      <c r="TWR204" s="605"/>
      <c r="TWS204" s="605"/>
      <c r="TWT204" s="605"/>
      <c r="TWU204" s="605"/>
      <c r="TWV204" s="605"/>
      <c r="TWW204" s="605"/>
      <c r="TWX204" s="605"/>
      <c r="TWY204" s="605"/>
      <c r="TWZ204" s="605"/>
      <c r="TXA204" s="605"/>
      <c r="TXB204" s="605"/>
      <c r="TXC204" s="605"/>
      <c r="TXD204" s="605"/>
      <c r="TXE204" s="605"/>
      <c r="TXF204" s="605"/>
      <c r="TXG204" s="605"/>
      <c r="TXH204" s="605"/>
      <c r="TXI204" s="605"/>
      <c r="TXJ204" s="605"/>
      <c r="TXK204" s="605"/>
      <c r="TXL204" s="605"/>
      <c r="TXM204" s="605"/>
      <c r="TXN204" s="605"/>
      <c r="TXO204" s="605"/>
      <c r="TXP204" s="605"/>
      <c r="TXQ204" s="605"/>
      <c r="TXR204" s="605"/>
      <c r="TXS204" s="605"/>
      <c r="TXT204" s="605"/>
      <c r="TXU204" s="605"/>
      <c r="TXV204" s="605"/>
      <c r="TXW204" s="605"/>
      <c r="TXX204" s="605"/>
      <c r="TXY204" s="605"/>
      <c r="TXZ204" s="605"/>
      <c r="TYA204" s="605"/>
      <c r="TYB204" s="605"/>
      <c r="TYC204" s="605"/>
      <c r="TYD204" s="605"/>
      <c r="TYE204" s="605"/>
      <c r="TYF204" s="605"/>
      <c r="TYG204" s="605"/>
      <c r="TYH204" s="605"/>
      <c r="TYI204" s="605"/>
      <c r="TYJ204" s="605"/>
      <c r="TYK204" s="605"/>
      <c r="TYL204" s="605"/>
      <c r="TYM204" s="605"/>
      <c r="TYN204" s="605"/>
      <c r="TYO204" s="605"/>
      <c r="TYP204" s="605"/>
      <c r="TYQ204" s="605"/>
      <c r="TYR204" s="605"/>
      <c r="TYS204" s="605"/>
      <c r="TYT204" s="605"/>
      <c r="TYU204" s="605"/>
      <c r="TYV204" s="605"/>
      <c r="TYW204" s="605"/>
      <c r="TYX204" s="605"/>
      <c r="TYY204" s="605"/>
      <c r="TYZ204" s="605"/>
      <c r="TZA204" s="605"/>
      <c r="TZB204" s="605"/>
      <c r="TZC204" s="605"/>
      <c r="TZD204" s="605"/>
      <c r="TZE204" s="605"/>
      <c r="TZF204" s="605"/>
      <c r="TZG204" s="605"/>
      <c r="TZH204" s="605"/>
      <c r="TZI204" s="605"/>
      <c r="TZJ204" s="605"/>
      <c r="TZK204" s="605"/>
      <c r="TZL204" s="605"/>
      <c r="TZM204" s="605"/>
      <c r="TZN204" s="605"/>
      <c r="TZO204" s="605"/>
      <c r="TZP204" s="605"/>
      <c r="TZQ204" s="605"/>
      <c r="TZR204" s="605"/>
      <c r="TZS204" s="605"/>
      <c r="TZT204" s="605"/>
      <c r="TZU204" s="605"/>
      <c r="TZV204" s="605"/>
      <c r="TZW204" s="605"/>
      <c r="TZX204" s="605"/>
      <c r="TZY204" s="605"/>
      <c r="TZZ204" s="605"/>
      <c r="UAA204" s="605"/>
      <c r="UAB204" s="605"/>
      <c r="UAC204" s="605"/>
      <c r="UAD204" s="605"/>
      <c r="UAE204" s="605"/>
      <c r="UAF204" s="605"/>
      <c r="UAG204" s="605"/>
      <c r="UAH204" s="605"/>
      <c r="UAI204" s="605"/>
      <c r="UAJ204" s="605"/>
      <c r="UAK204" s="605"/>
      <c r="UAL204" s="605"/>
      <c r="UAM204" s="605"/>
      <c r="UAN204" s="605"/>
      <c r="UAO204" s="605"/>
      <c r="UAP204" s="605"/>
      <c r="UAQ204" s="605"/>
      <c r="UAR204" s="605"/>
      <c r="UAS204" s="605"/>
      <c r="UAT204" s="605"/>
      <c r="UAU204" s="605"/>
      <c r="UAV204" s="605"/>
      <c r="UAW204" s="605"/>
      <c r="UAX204" s="605"/>
      <c r="UAY204" s="605"/>
      <c r="UAZ204" s="605"/>
      <c r="UBA204" s="605"/>
      <c r="UBB204" s="605"/>
      <c r="UBC204" s="605"/>
      <c r="UBD204" s="605"/>
      <c r="UBE204" s="605"/>
      <c r="UBF204" s="605"/>
      <c r="UBG204" s="605"/>
      <c r="UBH204" s="605"/>
      <c r="UBI204" s="605"/>
      <c r="UBJ204" s="605"/>
      <c r="UBK204" s="605"/>
      <c r="UBL204" s="605"/>
      <c r="UBM204" s="605"/>
      <c r="UBN204" s="605"/>
      <c r="UBO204" s="605"/>
      <c r="UBP204" s="605"/>
      <c r="UBQ204" s="605"/>
      <c r="UBR204" s="605"/>
      <c r="UBS204" s="605"/>
      <c r="UBT204" s="605"/>
      <c r="UBU204" s="605"/>
      <c r="UBV204" s="605"/>
      <c r="UBW204" s="605"/>
      <c r="UBX204" s="605"/>
      <c r="UBY204" s="605"/>
      <c r="UBZ204" s="605"/>
      <c r="UCA204" s="605"/>
      <c r="UCB204" s="605"/>
      <c r="UCC204" s="605"/>
      <c r="UCD204" s="605"/>
      <c r="UCE204" s="605"/>
      <c r="UCF204" s="605"/>
      <c r="UCG204" s="605"/>
      <c r="UCH204" s="605"/>
      <c r="UCI204" s="605"/>
      <c r="UCJ204" s="605"/>
      <c r="UCK204" s="605"/>
      <c r="UCL204" s="605"/>
      <c r="UCM204" s="605"/>
      <c r="UCN204" s="605"/>
      <c r="UCO204" s="605"/>
      <c r="UCP204" s="605"/>
      <c r="UCQ204" s="605"/>
      <c r="UCR204" s="605"/>
      <c r="UCS204" s="605"/>
      <c r="UCT204" s="605"/>
      <c r="UCU204" s="605"/>
      <c r="UCV204" s="605"/>
      <c r="UCW204" s="605"/>
      <c r="UCX204" s="605"/>
      <c r="UCY204" s="605"/>
      <c r="UCZ204" s="605"/>
      <c r="UDA204" s="605"/>
      <c r="UDB204" s="605"/>
      <c r="UDC204" s="605"/>
      <c r="UDD204" s="605"/>
      <c r="UDE204" s="605"/>
      <c r="UDF204" s="605"/>
      <c r="UDG204" s="605"/>
      <c r="UDH204" s="605"/>
      <c r="UDI204" s="605"/>
      <c r="UDJ204" s="605"/>
      <c r="UDK204" s="605"/>
      <c r="UDL204" s="605"/>
      <c r="UDM204" s="605"/>
      <c r="UDN204" s="605"/>
      <c r="UDO204" s="605"/>
      <c r="UDP204" s="605"/>
      <c r="UDQ204" s="605"/>
      <c r="UDR204" s="605"/>
      <c r="UDS204" s="605"/>
      <c r="UDT204" s="605"/>
      <c r="UDU204" s="605"/>
      <c r="UDV204" s="605"/>
      <c r="UDW204" s="605"/>
      <c r="UDX204" s="605"/>
      <c r="UDY204" s="605"/>
      <c r="UDZ204" s="605"/>
      <c r="UEA204" s="605"/>
      <c r="UEB204" s="605"/>
      <c r="UEC204" s="605"/>
      <c r="UED204" s="605"/>
      <c r="UEE204" s="605"/>
      <c r="UEF204" s="605"/>
      <c r="UEG204" s="605"/>
      <c r="UEH204" s="605"/>
      <c r="UEI204" s="605"/>
      <c r="UEJ204" s="605"/>
      <c r="UEK204" s="605"/>
      <c r="UEL204" s="605"/>
      <c r="UEM204" s="605"/>
      <c r="UEN204" s="605"/>
      <c r="UEO204" s="605"/>
      <c r="UEP204" s="605"/>
      <c r="UEQ204" s="605"/>
      <c r="UER204" s="605"/>
      <c r="UES204" s="605"/>
      <c r="UET204" s="605"/>
      <c r="UEU204" s="605"/>
      <c r="UEV204" s="605"/>
      <c r="UEW204" s="605"/>
      <c r="UEX204" s="605"/>
      <c r="UEY204" s="605"/>
      <c r="UEZ204" s="605"/>
      <c r="UFA204" s="605"/>
      <c r="UFB204" s="605"/>
      <c r="UFC204" s="605"/>
      <c r="UFD204" s="605"/>
      <c r="UFE204" s="605"/>
      <c r="UFF204" s="605"/>
      <c r="UFG204" s="605"/>
      <c r="UFH204" s="605"/>
      <c r="UFI204" s="605"/>
      <c r="UFJ204" s="605"/>
      <c r="UFK204" s="605"/>
      <c r="UFL204" s="605"/>
      <c r="UFM204" s="605"/>
      <c r="UFN204" s="605"/>
      <c r="UFO204" s="605"/>
      <c r="UFP204" s="605"/>
      <c r="UFQ204" s="605"/>
      <c r="UFR204" s="605"/>
      <c r="UFS204" s="605"/>
      <c r="UFT204" s="605"/>
      <c r="UFU204" s="605"/>
      <c r="UFV204" s="605"/>
      <c r="UFW204" s="605"/>
      <c r="UFX204" s="605"/>
      <c r="UFY204" s="605"/>
      <c r="UFZ204" s="605"/>
      <c r="UGA204" s="605"/>
      <c r="UGB204" s="605"/>
      <c r="UGC204" s="605"/>
      <c r="UGD204" s="605"/>
      <c r="UGE204" s="605"/>
      <c r="UGF204" s="605"/>
      <c r="UGG204" s="605"/>
      <c r="UGH204" s="605"/>
      <c r="UGI204" s="605"/>
      <c r="UGJ204" s="605"/>
      <c r="UGK204" s="605"/>
      <c r="UGL204" s="605"/>
      <c r="UGM204" s="605"/>
      <c r="UGN204" s="605"/>
      <c r="UGO204" s="605"/>
      <c r="UGP204" s="605"/>
      <c r="UGQ204" s="605"/>
      <c r="UGR204" s="605"/>
      <c r="UGS204" s="605"/>
      <c r="UGT204" s="605"/>
      <c r="UGU204" s="605"/>
      <c r="UGV204" s="605"/>
      <c r="UGW204" s="605"/>
      <c r="UGX204" s="605"/>
      <c r="UGY204" s="605"/>
      <c r="UGZ204" s="605"/>
      <c r="UHA204" s="605"/>
      <c r="UHB204" s="605"/>
      <c r="UHC204" s="605"/>
      <c r="UHD204" s="605"/>
      <c r="UHE204" s="605"/>
      <c r="UHF204" s="605"/>
      <c r="UHG204" s="605"/>
      <c r="UHH204" s="605"/>
      <c r="UHI204" s="605"/>
      <c r="UHJ204" s="605"/>
      <c r="UHK204" s="605"/>
      <c r="UHL204" s="605"/>
      <c r="UHM204" s="605"/>
      <c r="UHN204" s="605"/>
      <c r="UHO204" s="605"/>
      <c r="UHP204" s="605"/>
      <c r="UHQ204" s="605"/>
      <c r="UHR204" s="605"/>
      <c r="UHS204" s="605"/>
      <c r="UHT204" s="605"/>
      <c r="UHU204" s="605"/>
      <c r="UHV204" s="605"/>
      <c r="UHW204" s="605"/>
      <c r="UHX204" s="605"/>
      <c r="UHY204" s="605"/>
      <c r="UHZ204" s="605"/>
      <c r="UIA204" s="605"/>
      <c r="UIB204" s="605"/>
      <c r="UIC204" s="605"/>
      <c r="UID204" s="605"/>
      <c r="UIE204" s="605"/>
      <c r="UIF204" s="605"/>
      <c r="UIG204" s="605"/>
      <c r="UIH204" s="605"/>
      <c r="UII204" s="605"/>
      <c r="UIJ204" s="605"/>
      <c r="UIK204" s="605"/>
      <c r="UIL204" s="605"/>
      <c r="UIM204" s="605"/>
      <c r="UIN204" s="605"/>
      <c r="UIO204" s="605"/>
      <c r="UIP204" s="605"/>
      <c r="UIQ204" s="605"/>
      <c r="UIR204" s="605"/>
      <c r="UIS204" s="605"/>
      <c r="UIT204" s="605"/>
      <c r="UIU204" s="605"/>
      <c r="UIV204" s="605"/>
      <c r="UIW204" s="605"/>
      <c r="UIX204" s="605"/>
      <c r="UIY204" s="605"/>
      <c r="UIZ204" s="605"/>
      <c r="UJA204" s="605"/>
      <c r="UJB204" s="605"/>
      <c r="UJC204" s="605"/>
      <c r="UJD204" s="605"/>
      <c r="UJE204" s="605"/>
      <c r="UJF204" s="605"/>
      <c r="UJG204" s="605"/>
      <c r="UJH204" s="605"/>
      <c r="UJI204" s="605"/>
      <c r="UJJ204" s="605"/>
      <c r="UJK204" s="605"/>
      <c r="UJL204" s="605"/>
      <c r="UJM204" s="605"/>
      <c r="UJN204" s="605"/>
      <c r="UJO204" s="605"/>
      <c r="UJP204" s="605"/>
      <c r="UJQ204" s="605"/>
      <c r="UJR204" s="605"/>
      <c r="UJS204" s="605"/>
      <c r="UJT204" s="605"/>
      <c r="UJU204" s="605"/>
      <c r="UJV204" s="605"/>
      <c r="UJW204" s="605"/>
      <c r="UJX204" s="605"/>
      <c r="UJY204" s="605"/>
      <c r="UJZ204" s="605"/>
      <c r="UKA204" s="605"/>
      <c r="UKB204" s="605"/>
      <c r="UKC204" s="605"/>
      <c r="UKD204" s="605"/>
      <c r="UKE204" s="605"/>
      <c r="UKF204" s="605"/>
      <c r="UKG204" s="605"/>
      <c r="UKH204" s="605"/>
      <c r="UKI204" s="605"/>
      <c r="UKJ204" s="605"/>
      <c r="UKK204" s="605"/>
      <c r="UKL204" s="605"/>
      <c r="UKM204" s="605"/>
      <c r="UKN204" s="605"/>
      <c r="UKO204" s="605"/>
      <c r="UKP204" s="605"/>
      <c r="UKQ204" s="605"/>
      <c r="UKR204" s="605"/>
      <c r="UKS204" s="605"/>
      <c r="UKT204" s="605"/>
      <c r="UKU204" s="605"/>
      <c r="UKV204" s="605"/>
      <c r="UKW204" s="605"/>
      <c r="UKX204" s="605"/>
      <c r="UKY204" s="605"/>
      <c r="UKZ204" s="605"/>
      <c r="ULA204" s="605"/>
      <c r="ULB204" s="605"/>
      <c r="ULC204" s="605"/>
      <c r="ULD204" s="605"/>
      <c r="ULE204" s="605"/>
      <c r="ULF204" s="605"/>
      <c r="ULG204" s="605"/>
      <c r="ULH204" s="605"/>
      <c r="ULI204" s="605"/>
      <c r="ULJ204" s="605"/>
      <c r="ULK204" s="605"/>
      <c r="ULL204" s="605"/>
      <c r="ULM204" s="605"/>
      <c r="ULN204" s="605"/>
      <c r="ULO204" s="605"/>
      <c r="ULP204" s="605"/>
      <c r="ULQ204" s="605"/>
      <c r="ULR204" s="605"/>
      <c r="ULS204" s="605"/>
      <c r="ULT204" s="605"/>
      <c r="ULU204" s="605"/>
      <c r="ULV204" s="605"/>
      <c r="ULW204" s="605"/>
      <c r="ULX204" s="605"/>
      <c r="ULY204" s="605"/>
      <c r="ULZ204" s="605"/>
      <c r="UMA204" s="605"/>
      <c r="UMB204" s="605"/>
      <c r="UMC204" s="605"/>
      <c r="UMD204" s="605"/>
      <c r="UME204" s="605"/>
      <c r="UMF204" s="605"/>
      <c r="UMG204" s="605"/>
      <c r="UMH204" s="605"/>
      <c r="UMI204" s="605"/>
      <c r="UMJ204" s="605"/>
      <c r="UMK204" s="605"/>
      <c r="UML204" s="605"/>
      <c r="UMM204" s="605"/>
      <c r="UMN204" s="605"/>
      <c r="UMO204" s="605"/>
      <c r="UMP204" s="605"/>
      <c r="UMQ204" s="605"/>
      <c r="UMR204" s="605"/>
      <c r="UMS204" s="605"/>
      <c r="UMT204" s="605"/>
      <c r="UMU204" s="605"/>
      <c r="UMV204" s="605"/>
      <c r="UMW204" s="605"/>
      <c r="UMX204" s="605"/>
      <c r="UMY204" s="605"/>
      <c r="UMZ204" s="605"/>
      <c r="UNA204" s="605"/>
      <c r="UNB204" s="605"/>
      <c r="UNC204" s="605"/>
      <c r="UND204" s="605"/>
      <c r="UNE204" s="605"/>
      <c r="UNF204" s="605"/>
      <c r="UNG204" s="605"/>
      <c r="UNH204" s="605"/>
      <c r="UNI204" s="605"/>
      <c r="UNJ204" s="605"/>
      <c r="UNK204" s="605"/>
      <c r="UNL204" s="605"/>
      <c r="UNM204" s="605"/>
      <c r="UNN204" s="605"/>
      <c r="UNO204" s="605"/>
      <c r="UNP204" s="605"/>
      <c r="UNQ204" s="605"/>
      <c r="UNR204" s="605"/>
      <c r="UNS204" s="605"/>
      <c r="UNT204" s="605"/>
      <c r="UNU204" s="605"/>
      <c r="UNV204" s="605"/>
      <c r="UNW204" s="605"/>
      <c r="UNX204" s="605"/>
      <c r="UNY204" s="605"/>
      <c r="UNZ204" s="605"/>
      <c r="UOA204" s="605"/>
      <c r="UOB204" s="605"/>
      <c r="UOC204" s="605"/>
      <c r="UOD204" s="605"/>
      <c r="UOE204" s="605"/>
      <c r="UOF204" s="605"/>
      <c r="UOG204" s="605"/>
      <c r="UOH204" s="605"/>
      <c r="UOI204" s="605"/>
      <c r="UOJ204" s="605"/>
      <c r="UOK204" s="605"/>
      <c r="UOL204" s="605"/>
      <c r="UOM204" s="605"/>
      <c r="UON204" s="605"/>
      <c r="UOO204" s="605"/>
      <c r="UOP204" s="605"/>
      <c r="UOQ204" s="605"/>
      <c r="UOR204" s="605"/>
      <c r="UOS204" s="605"/>
      <c r="UOT204" s="605"/>
      <c r="UOU204" s="605"/>
      <c r="UOV204" s="605"/>
      <c r="UOW204" s="605"/>
      <c r="UOX204" s="605"/>
      <c r="UOY204" s="605"/>
      <c r="UOZ204" s="605"/>
      <c r="UPA204" s="605"/>
      <c r="UPB204" s="605"/>
      <c r="UPC204" s="605"/>
      <c r="UPD204" s="605"/>
      <c r="UPE204" s="605"/>
      <c r="UPF204" s="605"/>
      <c r="UPG204" s="605"/>
      <c r="UPH204" s="605"/>
      <c r="UPI204" s="605"/>
      <c r="UPJ204" s="605"/>
      <c r="UPK204" s="605"/>
      <c r="UPL204" s="605"/>
      <c r="UPM204" s="605"/>
      <c r="UPN204" s="605"/>
      <c r="UPO204" s="605"/>
      <c r="UPP204" s="605"/>
      <c r="UPQ204" s="605"/>
      <c r="UPR204" s="605"/>
      <c r="UPS204" s="605"/>
      <c r="UPT204" s="605"/>
      <c r="UPU204" s="605"/>
      <c r="UPV204" s="605"/>
      <c r="UPW204" s="605"/>
      <c r="UPX204" s="605"/>
      <c r="UPY204" s="605"/>
      <c r="UPZ204" s="605"/>
      <c r="UQA204" s="605"/>
      <c r="UQB204" s="605"/>
      <c r="UQC204" s="605"/>
      <c r="UQD204" s="605"/>
      <c r="UQE204" s="605"/>
      <c r="UQF204" s="605"/>
      <c r="UQG204" s="605"/>
      <c r="UQH204" s="605"/>
      <c r="UQI204" s="605"/>
      <c r="UQJ204" s="605"/>
      <c r="UQK204" s="605"/>
      <c r="UQL204" s="605"/>
      <c r="UQM204" s="605"/>
      <c r="UQN204" s="605"/>
      <c r="UQO204" s="605"/>
      <c r="UQP204" s="605"/>
      <c r="UQQ204" s="605"/>
      <c r="UQR204" s="605"/>
      <c r="UQS204" s="605"/>
      <c r="UQT204" s="605"/>
      <c r="UQU204" s="605"/>
      <c r="UQV204" s="605"/>
      <c r="UQW204" s="605"/>
      <c r="UQX204" s="605"/>
      <c r="UQY204" s="605"/>
      <c r="UQZ204" s="605"/>
      <c r="URA204" s="605"/>
      <c r="URB204" s="605"/>
      <c r="URC204" s="605"/>
      <c r="URD204" s="605"/>
      <c r="URE204" s="605"/>
      <c r="URF204" s="605"/>
      <c r="URG204" s="605"/>
      <c r="URH204" s="605"/>
      <c r="URI204" s="605"/>
      <c r="URJ204" s="605"/>
      <c r="URK204" s="605"/>
      <c r="URL204" s="605"/>
      <c r="URM204" s="605"/>
      <c r="URN204" s="605"/>
      <c r="URO204" s="605"/>
      <c r="URP204" s="605"/>
      <c r="URQ204" s="605"/>
      <c r="URR204" s="605"/>
      <c r="URS204" s="605"/>
      <c r="URT204" s="605"/>
      <c r="URU204" s="605"/>
      <c r="URV204" s="605"/>
      <c r="URW204" s="605"/>
      <c r="URX204" s="605"/>
      <c r="URY204" s="605"/>
      <c r="URZ204" s="605"/>
      <c r="USA204" s="605"/>
      <c r="USB204" s="605"/>
      <c r="USC204" s="605"/>
      <c r="USD204" s="605"/>
      <c r="USE204" s="605"/>
      <c r="USF204" s="605"/>
      <c r="USG204" s="605"/>
      <c r="USH204" s="605"/>
      <c r="USI204" s="605"/>
      <c r="USJ204" s="605"/>
      <c r="USK204" s="605"/>
      <c r="USL204" s="605"/>
      <c r="USM204" s="605"/>
      <c r="USN204" s="605"/>
      <c r="USO204" s="605"/>
      <c r="USP204" s="605"/>
      <c r="USQ204" s="605"/>
      <c r="USR204" s="605"/>
      <c r="USS204" s="605"/>
      <c r="UST204" s="605"/>
      <c r="USU204" s="605"/>
      <c r="USV204" s="605"/>
      <c r="USW204" s="605"/>
      <c r="USX204" s="605"/>
      <c r="USY204" s="605"/>
      <c r="USZ204" s="605"/>
      <c r="UTA204" s="605"/>
      <c r="UTB204" s="605"/>
      <c r="UTC204" s="605"/>
      <c r="UTD204" s="605"/>
      <c r="UTE204" s="605"/>
      <c r="UTF204" s="605"/>
      <c r="UTG204" s="605"/>
      <c r="UTH204" s="605"/>
      <c r="UTI204" s="605"/>
      <c r="UTJ204" s="605"/>
      <c r="UTK204" s="605"/>
      <c r="UTL204" s="605"/>
      <c r="UTM204" s="605"/>
      <c r="UTN204" s="605"/>
      <c r="UTO204" s="605"/>
      <c r="UTP204" s="605"/>
      <c r="UTQ204" s="605"/>
      <c r="UTR204" s="605"/>
      <c r="UTS204" s="605"/>
      <c r="UTT204" s="605"/>
      <c r="UTU204" s="605"/>
      <c r="UTV204" s="605"/>
      <c r="UTW204" s="605"/>
      <c r="UTX204" s="605"/>
      <c r="UTY204" s="605"/>
      <c r="UTZ204" s="605"/>
      <c r="UUA204" s="605"/>
      <c r="UUB204" s="605"/>
      <c r="UUC204" s="605"/>
      <c r="UUD204" s="605"/>
      <c r="UUE204" s="605"/>
      <c r="UUF204" s="605"/>
      <c r="UUG204" s="605"/>
      <c r="UUH204" s="605"/>
      <c r="UUI204" s="605"/>
      <c r="UUJ204" s="605"/>
      <c r="UUK204" s="605"/>
      <c r="UUL204" s="605"/>
      <c r="UUM204" s="605"/>
      <c r="UUN204" s="605"/>
      <c r="UUO204" s="605"/>
      <c r="UUP204" s="605"/>
      <c r="UUQ204" s="605"/>
      <c r="UUR204" s="605"/>
      <c r="UUS204" s="605"/>
      <c r="UUT204" s="605"/>
      <c r="UUU204" s="605"/>
      <c r="UUV204" s="605"/>
      <c r="UUW204" s="605"/>
      <c r="UUX204" s="605"/>
      <c r="UUY204" s="605"/>
      <c r="UUZ204" s="605"/>
      <c r="UVA204" s="605"/>
      <c r="UVB204" s="605"/>
      <c r="UVC204" s="605"/>
      <c r="UVD204" s="605"/>
      <c r="UVE204" s="605"/>
      <c r="UVF204" s="605"/>
      <c r="UVG204" s="605"/>
      <c r="UVH204" s="605"/>
      <c r="UVI204" s="605"/>
      <c r="UVJ204" s="605"/>
      <c r="UVK204" s="605"/>
      <c r="UVL204" s="605"/>
      <c r="UVM204" s="605"/>
      <c r="UVN204" s="605"/>
      <c r="UVO204" s="605"/>
      <c r="UVP204" s="605"/>
      <c r="UVQ204" s="605"/>
      <c r="UVR204" s="605"/>
      <c r="UVS204" s="605"/>
      <c r="UVT204" s="605"/>
      <c r="UVU204" s="605"/>
      <c r="UVV204" s="605"/>
      <c r="UVW204" s="605"/>
      <c r="UVX204" s="605"/>
      <c r="UVY204" s="605"/>
      <c r="UVZ204" s="605"/>
      <c r="UWA204" s="605"/>
      <c r="UWB204" s="605"/>
      <c r="UWC204" s="605"/>
      <c r="UWD204" s="605"/>
      <c r="UWE204" s="605"/>
      <c r="UWF204" s="605"/>
      <c r="UWG204" s="605"/>
      <c r="UWH204" s="605"/>
      <c r="UWI204" s="605"/>
      <c r="UWJ204" s="605"/>
      <c r="UWK204" s="605"/>
      <c r="UWL204" s="605"/>
      <c r="UWM204" s="605"/>
      <c r="UWN204" s="605"/>
      <c r="UWO204" s="605"/>
      <c r="UWP204" s="605"/>
      <c r="UWQ204" s="605"/>
      <c r="UWR204" s="605"/>
      <c r="UWS204" s="605"/>
      <c r="UWT204" s="605"/>
      <c r="UWU204" s="605"/>
      <c r="UWV204" s="605"/>
      <c r="UWW204" s="605"/>
      <c r="UWX204" s="605"/>
      <c r="UWY204" s="605"/>
      <c r="UWZ204" s="605"/>
      <c r="UXA204" s="605"/>
      <c r="UXB204" s="605"/>
      <c r="UXC204" s="605"/>
      <c r="UXD204" s="605"/>
      <c r="UXE204" s="605"/>
      <c r="UXF204" s="605"/>
      <c r="UXG204" s="605"/>
      <c r="UXH204" s="605"/>
      <c r="UXI204" s="605"/>
      <c r="UXJ204" s="605"/>
      <c r="UXK204" s="605"/>
      <c r="UXL204" s="605"/>
      <c r="UXM204" s="605"/>
      <c r="UXN204" s="605"/>
      <c r="UXO204" s="605"/>
      <c r="UXP204" s="605"/>
      <c r="UXQ204" s="605"/>
      <c r="UXR204" s="605"/>
      <c r="UXS204" s="605"/>
      <c r="UXT204" s="605"/>
      <c r="UXU204" s="605"/>
      <c r="UXV204" s="605"/>
      <c r="UXW204" s="605"/>
      <c r="UXX204" s="605"/>
      <c r="UXY204" s="605"/>
      <c r="UXZ204" s="605"/>
      <c r="UYA204" s="605"/>
      <c r="UYB204" s="605"/>
      <c r="UYC204" s="605"/>
      <c r="UYD204" s="605"/>
      <c r="UYE204" s="605"/>
      <c r="UYF204" s="605"/>
      <c r="UYG204" s="605"/>
      <c r="UYH204" s="605"/>
      <c r="UYI204" s="605"/>
      <c r="UYJ204" s="605"/>
      <c r="UYK204" s="605"/>
      <c r="UYL204" s="605"/>
      <c r="UYM204" s="605"/>
      <c r="UYN204" s="605"/>
      <c r="UYO204" s="605"/>
      <c r="UYP204" s="605"/>
      <c r="UYQ204" s="605"/>
      <c r="UYR204" s="605"/>
      <c r="UYS204" s="605"/>
      <c r="UYT204" s="605"/>
      <c r="UYU204" s="605"/>
      <c r="UYV204" s="605"/>
      <c r="UYW204" s="605"/>
      <c r="UYX204" s="605"/>
      <c r="UYY204" s="605"/>
      <c r="UYZ204" s="605"/>
      <c r="UZA204" s="605"/>
      <c r="UZB204" s="605"/>
      <c r="UZC204" s="605"/>
      <c r="UZD204" s="605"/>
      <c r="UZE204" s="605"/>
      <c r="UZF204" s="605"/>
      <c r="UZG204" s="605"/>
      <c r="UZH204" s="605"/>
      <c r="UZI204" s="605"/>
      <c r="UZJ204" s="605"/>
      <c r="UZK204" s="605"/>
      <c r="UZL204" s="605"/>
      <c r="UZM204" s="605"/>
      <c r="UZN204" s="605"/>
      <c r="UZO204" s="605"/>
      <c r="UZP204" s="605"/>
      <c r="UZQ204" s="605"/>
      <c r="UZR204" s="605"/>
      <c r="UZS204" s="605"/>
      <c r="UZT204" s="605"/>
      <c r="UZU204" s="605"/>
      <c r="UZV204" s="605"/>
      <c r="UZW204" s="605"/>
      <c r="UZX204" s="605"/>
      <c r="UZY204" s="605"/>
      <c r="UZZ204" s="605"/>
      <c r="VAA204" s="605"/>
      <c r="VAB204" s="605"/>
      <c r="VAC204" s="605"/>
      <c r="VAD204" s="605"/>
      <c r="VAE204" s="605"/>
      <c r="VAF204" s="605"/>
      <c r="VAG204" s="605"/>
      <c r="VAH204" s="605"/>
      <c r="VAI204" s="605"/>
      <c r="VAJ204" s="605"/>
      <c r="VAK204" s="605"/>
      <c r="VAL204" s="605"/>
      <c r="VAM204" s="605"/>
      <c r="VAN204" s="605"/>
      <c r="VAO204" s="605"/>
      <c r="VAP204" s="605"/>
      <c r="VAQ204" s="605"/>
      <c r="VAR204" s="605"/>
      <c r="VAS204" s="605"/>
      <c r="VAT204" s="605"/>
      <c r="VAU204" s="605"/>
      <c r="VAV204" s="605"/>
      <c r="VAW204" s="605"/>
      <c r="VAX204" s="605"/>
      <c r="VAY204" s="605"/>
      <c r="VAZ204" s="605"/>
      <c r="VBA204" s="605"/>
      <c r="VBB204" s="605"/>
      <c r="VBC204" s="605"/>
      <c r="VBD204" s="605"/>
      <c r="VBE204" s="605"/>
      <c r="VBF204" s="605"/>
      <c r="VBG204" s="605"/>
      <c r="VBH204" s="605"/>
      <c r="VBI204" s="605"/>
      <c r="VBJ204" s="605"/>
      <c r="VBK204" s="605"/>
      <c r="VBL204" s="605"/>
      <c r="VBM204" s="605"/>
      <c r="VBN204" s="605"/>
      <c r="VBO204" s="605"/>
      <c r="VBP204" s="605"/>
      <c r="VBQ204" s="605"/>
      <c r="VBR204" s="605"/>
      <c r="VBS204" s="605"/>
      <c r="VBT204" s="605"/>
      <c r="VBU204" s="605"/>
      <c r="VBV204" s="605"/>
      <c r="VBW204" s="605"/>
      <c r="VBX204" s="605"/>
      <c r="VBY204" s="605"/>
      <c r="VBZ204" s="605"/>
      <c r="VCA204" s="605"/>
      <c r="VCB204" s="605"/>
      <c r="VCC204" s="605"/>
      <c r="VCD204" s="605"/>
      <c r="VCE204" s="605"/>
      <c r="VCF204" s="605"/>
      <c r="VCG204" s="605"/>
      <c r="VCH204" s="605"/>
      <c r="VCI204" s="605"/>
      <c r="VCJ204" s="605"/>
      <c r="VCK204" s="605"/>
      <c r="VCL204" s="605"/>
      <c r="VCM204" s="605"/>
      <c r="VCN204" s="605"/>
      <c r="VCO204" s="605"/>
      <c r="VCP204" s="605"/>
      <c r="VCQ204" s="605"/>
      <c r="VCR204" s="605"/>
      <c r="VCS204" s="605"/>
      <c r="VCT204" s="605"/>
      <c r="VCU204" s="605"/>
      <c r="VCV204" s="605"/>
      <c r="VCW204" s="605"/>
      <c r="VCX204" s="605"/>
      <c r="VCY204" s="605"/>
      <c r="VCZ204" s="605"/>
      <c r="VDA204" s="605"/>
      <c r="VDB204" s="605"/>
      <c r="VDC204" s="605"/>
      <c r="VDD204" s="605"/>
      <c r="VDE204" s="605"/>
      <c r="VDF204" s="605"/>
      <c r="VDG204" s="605"/>
      <c r="VDH204" s="605"/>
      <c r="VDI204" s="605"/>
      <c r="VDJ204" s="605"/>
      <c r="VDK204" s="605"/>
      <c r="VDL204" s="605"/>
      <c r="VDM204" s="605"/>
      <c r="VDN204" s="605"/>
      <c r="VDO204" s="605"/>
      <c r="VDP204" s="605"/>
      <c r="VDQ204" s="605"/>
      <c r="VDR204" s="605"/>
      <c r="VDS204" s="605"/>
      <c r="VDT204" s="605"/>
      <c r="VDU204" s="605"/>
      <c r="VDV204" s="605"/>
      <c r="VDW204" s="605"/>
      <c r="VDX204" s="605"/>
      <c r="VDY204" s="605"/>
      <c r="VDZ204" s="605"/>
      <c r="VEA204" s="605"/>
      <c r="VEB204" s="605"/>
      <c r="VEC204" s="605"/>
      <c r="VED204" s="605"/>
      <c r="VEE204" s="605"/>
      <c r="VEF204" s="605"/>
      <c r="VEG204" s="605"/>
      <c r="VEH204" s="605"/>
      <c r="VEI204" s="605"/>
      <c r="VEJ204" s="605"/>
      <c r="VEK204" s="605"/>
      <c r="VEL204" s="605"/>
      <c r="VEM204" s="605"/>
      <c r="VEN204" s="605"/>
      <c r="VEO204" s="605"/>
      <c r="VEP204" s="605"/>
      <c r="VEQ204" s="605"/>
      <c r="VER204" s="605"/>
      <c r="VES204" s="605"/>
      <c r="VET204" s="605"/>
      <c r="VEU204" s="605"/>
      <c r="VEV204" s="605"/>
      <c r="VEW204" s="605"/>
      <c r="VEX204" s="605"/>
      <c r="VEY204" s="605"/>
      <c r="VEZ204" s="605"/>
      <c r="VFA204" s="605"/>
      <c r="VFB204" s="605"/>
      <c r="VFC204" s="605"/>
      <c r="VFD204" s="605"/>
      <c r="VFE204" s="605"/>
      <c r="VFF204" s="605"/>
      <c r="VFG204" s="605"/>
      <c r="VFH204" s="605"/>
      <c r="VFI204" s="605"/>
      <c r="VFJ204" s="605"/>
      <c r="VFK204" s="605"/>
      <c r="VFL204" s="605"/>
      <c r="VFM204" s="605"/>
      <c r="VFN204" s="605"/>
      <c r="VFO204" s="605"/>
      <c r="VFP204" s="605"/>
      <c r="VFQ204" s="605"/>
      <c r="VFR204" s="605"/>
      <c r="VFS204" s="605"/>
      <c r="VFT204" s="605"/>
      <c r="VFU204" s="605"/>
      <c r="VFV204" s="605"/>
      <c r="VFW204" s="605"/>
      <c r="VFX204" s="605"/>
      <c r="VFY204" s="605"/>
      <c r="VFZ204" s="605"/>
      <c r="VGA204" s="605"/>
      <c r="VGB204" s="605"/>
      <c r="VGC204" s="605"/>
      <c r="VGD204" s="605"/>
      <c r="VGE204" s="605"/>
      <c r="VGF204" s="605"/>
      <c r="VGG204" s="605"/>
      <c r="VGH204" s="605"/>
      <c r="VGI204" s="605"/>
      <c r="VGJ204" s="605"/>
      <c r="VGK204" s="605"/>
      <c r="VGL204" s="605"/>
      <c r="VGM204" s="605"/>
      <c r="VGN204" s="605"/>
      <c r="VGO204" s="605"/>
      <c r="VGP204" s="605"/>
      <c r="VGQ204" s="605"/>
      <c r="VGR204" s="605"/>
      <c r="VGS204" s="605"/>
      <c r="VGT204" s="605"/>
      <c r="VGU204" s="605"/>
      <c r="VGV204" s="605"/>
      <c r="VGW204" s="605"/>
      <c r="VGX204" s="605"/>
      <c r="VGY204" s="605"/>
      <c r="VGZ204" s="605"/>
      <c r="VHA204" s="605"/>
      <c r="VHB204" s="605"/>
      <c r="VHC204" s="605"/>
      <c r="VHD204" s="605"/>
      <c r="VHE204" s="605"/>
      <c r="VHF204" s="605"/>
      <c r="VHG204" s="605"/>
      <c r="VHH204" s="605"/>
      <c r="VHI204" s="605"/>
      <c r="VHJ204" s="605"/>
      <c r="VHK204" s="605"/>
      <c r="VHL204" s="605"/>
      <c r="VHM204" s="605"/>
      <c r="VHN204" s="605"/>
      <c r="VHO204" s="605"/>
      <c r="VHP204" s="605"/>
      <c r="VHQ204" s="605"/>
      <c r="VHR204" s="605"/>
      <c r="VHS204" s="605"/>
      <c r="VHT204" s="605"/>
      <c r="VHU204" s="605"/>
      <c r="VHV204" s="605"/>
      <c r="VHW204" s="605"/>
      <c r="VHX204" s="605"/>
      <c r="VHY204" s="605"/>
      <c r="VHZ204" s="605"/>
      <c r="VIA204" s="605"/>
      <c r="VIB204" s="605"/>
      <c r="VIC204" s="605"/>
      <c r="VID204" s="605"/>
      <c r="VIE204" s="605"/>
      <c r="VIF204" s="605"/>
      <c r="VIG204" s="605"/>
      <c r="VIH204" s="605"/>
      <c r="VII204" s="605"/>
      <c r="VIJ204" s="605"/>
      <c r="VIK204" s="605"/>
      <c r="VIL204" s="605"/>
      <c r="VIM204" s="605"/>
      <c r="VIN204" s="605"/>
      <c r="VIO204" s="605"/>
      <c r="VIP204" s="605"/>
      <c r="VIQ204" s="605"/>
      <c r="VIR204" s="605"/>
      <c r="VIS204" s="605"/>
      <c r="VIT204" s="605"/>
      <c r="VIU204" s="605"/>
      <c r="VIV204" s="605"/>
      <c r="VIW204" s="605"/>
      <c r="VIX204" s="605"/>
      <c r="VIY204" s="605"/>
      <c r="VIZ204" s="605"/>
      <c r="VJA204" s="605"/>
      <c r="VJB204" s="605"/>
      <c r="VJC204" s="605"/>
      <c r="VJD204" s="605"/>
      <c r="VJE204" s="605"/>
      <c r="VJF204" s="605"/>
      <c r="VJG204" s="605"/>
      <c r="VJH204" s="605"/>
      <c r="VJI204" s="605"/>
      <c r="VJJ204" s="605"/>
      <c r="VJK204" s="605"/>
      <c r="VJL204" s="605"/>
      <c r="VJM204" s="605"/>
      <c r="VJN204" s="605"/>
      <c r="VJO204" s="605"/>
      <c r="VJP204" s="605"/>
      <c r="VJQ204" s="605"/>
      <c r="VJR204" s="605"/>
      <c r="VJS204" s="605"/>
      <c r="VJT204" s="605"/>
      <c r="VJU204" s="605"/>
      <c r="VJV204" s="605"/>
      <c r="VJW204" s="605"/>
      <c r="VJX204" s="605"/>
      <c r="VJY204" s="605"/>
      <c r="VJZ204" s="605"/>
      <c r="VKA204" s="605"/>
      <c r="VKB204" s="605"/>
      <c r="VKC204" s="605"/>
      <c r="VKD204" s="605"/>
      <c r="VKE204" s="605"/>
      <c r="VKF204" s="605"/>
      <c r="VKG204" s="605"/>
      <c r="VKH204" s="605"/>
      <c r="VKI204" s="605"/>
      <c r="VKJ204" s="605"/>
      <c r="VKK204" s="605"/>
      <c r="VKL204" s="605"/>
      <c r="VKM204" s="605"/>
      <c r="VKN204" s="605"/>
      <c r="VKO204" s="605"/>
      <c r="VKP204" s="605"/>
      <c r="VKQ204" s="605"/>
      <c r="VKR204" s="605"/>
      <c r="VKS204" s="605"/>
      <c r="VKT204" s="605"/>
      <c r="VKU204" s="605"/>
      <c r="VKV204" s="605"/>
      <c r="VKW204" s="605"/>
      <c r="VKX204" s="605"/>
      <c r="VKY204" s="605"/>
      <c r="VKZ204" s="605"/>
      <c r="VLA204" s="605"/>
      <c r="VLB204" s="605"/>
      <c r="VLC204" s="605"/>
      <c r="VLD204" s="605"/>
      <c r="VLE204" s="605"/>
      <c r="VLF204" s="605"/>
      <c r="VLG204" s="605"/>
      <c r="VLH204" s="605"/>
      <c r="VLI204" s="605"/>
      <c r="VLJ204" s="605"/>
      <c r="VLK204" s="605"/>
      <c r="VLL204" s="605"/>
      <c r="VLM204" s="605"/>
      <c r="VLN204" s="605"/>
      <c r="VLO204" s="605"/>
      <c r="VLP204" s="605"/>
      <c r="VLQ204" s="605"/>
      <c r="VLR204" s="605"/>
      <c r="VLS204" s="605"/>
      <c r="VLT204" s="605"/>
      <c r="VLU204" s="605"/>
      <c r="VLV204" s="605"/>
      <c r="VLW204" s="605"/>
      <c r="VLX204" s="605"/>
      <c r="VLY204" s="605"/>
      <c r="VLZ204" s="605"/>
      <c r="VMA204" s="605"/>
      <c r="VMB204" s="605"/>
      <c r="VMC204" s="605"/>
      <c r="VMD204" s="605"/>
      <c r="VME204" s="605"/>
      <c r="VMF204" s="605"/>
      <c r="VMG204" s="605"/>
      <c r="VMH204" s="605"/>
      <c r="VMI204" s="605"/>
      <c r="VMJ204" s="605"/>
      <c r="VMK204" s="605"/>
      <c r="VML204" s="605"/>
      <c r="VMM204" s="605"/>
      <c r="VMN204" s="605"/>
      <c r="VMO204" s="605"/>
      <c r="VMP204" s="605"/>
      <c r="VMQ204" s="605"/>
      <c r="VMR204" s="605"/>
      <c r="VMS204" s="605"/>
      <c r="VMT204" s="605"/>
      <c r="VMU204" s="605"/>
      <c r="VMV204" s="605"/>
      <c r="VMW204" s="605"/>
      <c r="VMX204" s="605"/>
      <c r="VMY204" s="605"/>
      <c r="VMZ204" s="605"/>
      <c r="VNA204" s="605"/>
      <c r="VNB204" s="605"/>
      <c r="VNC204" s="605"/>
      <c r="VND204" s="605"/>
      <c r="VNE204" s="605"/>
      <c r="VNF204" s="605"/>
      <c r="VNG204" s="605"/>
      <c r="VNH204" s="605"/>
      <c r="VNI204" s="605"/>
      <c r="VNJ204" s="605"/>
      <c r="VNK204" s="605"/>
      <c r="VNL204" s="605"/>
      <c r="VNM204" s="605"/>
      <c r="VNN204" s="605"/>
      <c r="VNO204" s="605"/>
      <c r="VNP204" s="605"/>
      <c r="VNQ204" s="605"/>
      <c r="VNR204" s="605"/>
      <c r="VNS204" s="605"/>
      <c r="VNT204" s="605"/>
      <c r="VNU204" s="605"/>
      <c r="VNV204" s="605"/>
      <c r="VNW204" s="605"/>
      <c r="VNX204" s="605"/>
      <c r="VNY204" s="605"/>
      <c r="VNZ204" s="605"/>
      <c r="VOA204" s="605"/>
      <c r="VOB204" s="605"/>
      <c r="VOC204" s="605"/>
      <c r="VOD204" s="605"/>
      <c r="VOE204" s="605"/>
      <c r="VOF204" s="605"/>
      <c r="VOG204" s="605"/>
      <c r="VOH204" s="605"/>
      <c r="VOI204" s="605"/>
      <c r="VOJ204" s="605"/>
      <c r="VOK204" s="605"/>
      <c r="VOL204" s="605"/>
      <c r="VOM204" s="605"/>
      <c r="VON204" s="605"/>
      <c r="VOO204" s="605"/>
      <c r="VOP204" s="605"/>
      <c r="VOQ204" s="605"/>
      <c r="VOR204" s="605"/>
      <c r="VOS204" s="605"/>
      <c r="VOT204" s="605"/>
      <c r="VOU204" s="605"/>
      <c r="VOV204" s="605"/>
      <c r="VOW204" s="605"/>
      <c r="VOX204" s="605"/>
      <c r="VOY204" s="605"/>
      <c r="VOZ204" s="605"/>
      <c r="VPA204" s="605"/>
      <c r="VPB204" s="605"/>
      <c r="VPC204" s="605"/>
      <c r="VPD204" s="605"/>
      <c r="VPE204" s="605"/>
      <c r="VPF204" s="605"/>
      <c r="VPG204" s="605"/>
      <c r="VPH204" s="605"/>
      <c r="VPI204" s="605"/>
      <c r="VPJ204" s="605"/>
      <c r="VPK204" s="605"/>
      <c r="VPL204" s="605"/>
      <c r="VPM204" s="605"/>
      <c r="VPN204" s="605"/>
      <c r="VPO204" s="605"/>
      <c r="VPP204" s="605"/>
      <c r="VPQ204" s="605"/>
      <c r="VPR204" s="605"/>
      <c r="VPS204" s="605"/>
      <c r="VPT204" s="605"/>
      <c r="VPU204" s="605"/>
      <c r="VPV204" s="605"/>
      <c r="VPW204" s="605"/>
      <c r="VPX204" s="605"/>
      <c r="VPY204" s="605"/>
      <c r="VPZ204" s="605"/>
      <c r="VQA204" s="605"/>
      <c r="VQB204" s="605"/>
      <c r="VQC204" s="605"/>
      <c r="VQD204" s="605"/>
      <c r="VQE204" s="605"/>
      <c r="VQF204" s="605"/>
      <c r="VQG204" s="605"/>
      <c r="VQH204" s="605"/>
      <c r="VQI204" s="605"/>
      <c r="VQJ204" s="605"/>
      <c r="VQK204" s="605"/>
      <c r="VQL204" s="605"/>
      <c r="VQM204" s="605"/>
      <c r="VQN204" s="605"/>
      <c r="VQO204" s="605"/>
      <c r="VQP204" s="605"/>
      <c r="VQQ204" s="605"/>
      <c r="VQR204" s="605"/>
      <c r="VQS204" s="605"/>
      <c r="VQT204" s="605"/>
      <c r="VQU204" s="605"/>
      <c r="VQV204" s="605"/>
      <c r="VQW204" s="605"/>
      <c r="VQX204" s="605"/>
      <c r="VQY204" s="605"/>
      <c r="VQZ204" s="605"/>
      <c r="VRA204" s="605"/>
      <c r="VRB204" s="605"/>
      <c r="VRC204" s="605"/>
      <c r="VRD204" s="605"/>
      <c r="VRE204" s="605"/>
      <c r="VRF204" s="605"/>
      <c r="VRG204" s="605"/>
      <c r="VRH204" s="605"/>
      <c r="VRI204" s="605"/>
      <c r="VRJ204" s="605"/>
      <c r="VRK204" s="605"/>
      <c r="VRL204" s="605"/>
      <c r="VRM204" s="605"/>
      <c r="VRN204" s="605"/>
      <c r="VRO204" s="605"/>
      <c r="VRP204" s="605"/>
      <c r="VRQ204" s="605"/>
      <c r="VRR204" s="605"/>
      <c r="VRS204" s="605"/>
      <c r="VRT204" s="605"/>
      <c r="VRU204" s="605"/>
      <c r="VRV204" s="605"/>
      <c r="VRW204" s="605"/>
      <c r="VRX204" s="605"/>
      <c r="VRY204" s="605"/>
      <c r="VRZ204" s="605"/>
      <c r="VSA204" s="605"/>
      <c r="VSB204" s="605"/>
      <c r="VSC204" s="605"/>
      <c r="VSD204" s="605"/>
      <c r="VSE204" s="605"/>
      <c r="VSF204" s="605"/>
      <c r="VSG204" s="605"/>
      <c r="VSH204" s="605"/>
      <c r="VSI204" s="605"/>
      <c r="VSJ204" s="605"/>
      <c r="VSK204" s="605"/>
      <c r="VSL204" s="605"/>
      <c r="VSM204" s="605"/>
      <c r="VSN204" s="605"/>
      <c r="VSO204" s="605"/>
      <c r="VSP204" s="605"/>
      <c r="VSQ204" s="605"/>
      <c r="VSR204" s="605"/>
      <c r="VSS204" s="605"/>
      <c r="VST204" s="605"/>
      <c r="VSU204" s="605"/>
      <c r="VSV204" s="605"/>
      <c r="VSW204" s="605"/>
      <c r="VSX204" s="605"/>
      <c r="VSY204" s="605"/>
      <c r="VSZ204" s="605"/>
      <c r="VTA204" s="605"/>
      <c r="VTB204" s="605"/>
      <c r="VTC204" s="605"/>
      <c r="VTD204" s="605"/>
      <c r="VTE204" s="605"/>
      <c r="VTF204" s="605"/>
      <c r="VTG204" s="605"/>
      <c r="VTH204" s="605"/>
      <c r="VTI204" s="605"/>
      <c r="VTJ204" s="605"/>
      <c r="VTK204" s="605"/>
      <c r="VTL204" s="605"/>
      <c r="VTM204" s="605"/>
      <c r="VTN204" s="605"/>
      <c r="VTO204" s="605"/>
      <c r="VTP204" s="605"/>
      <c r="VTQ204" s="605"/>
      <c r="VTR204" s="605"/>
      <c r="VTS204" s="605"/>
      <c r="VTT204" s="605"/>
      <c r="VTU204" s="605"/>
      <c r="VTV204" s="605"/>
      <c r="VTW204" s="605"/>
      <c r="VTX204" s="605"/>
      <c r="VTY204" s="605"/>
      <c r="VTZ204" s="605"/>
      <c r="VUA204" s="605"/>
      <c r="VUB204" s="605"/>
      <c r="VUC204" s="605"/>
      <c r="VUD204" s="605"/>
      <c r="VUE204" s="605"/>
      <c r="VUF204" s="605"/>
      <c r="VUG204" s="605"/>
      <c r="VUH204" s="605"/>
      <c r="VUI204" s="605"/>
      <c r="VUJ204" s="605"/>
      <c r="VUK204" s="605"/>
      <c r="VUL204" s="605"/>
      <c r="VUM204" s="605"/>
      <c r="VUN204" s="605"/>
      <c r="VUO204" s="605"/>
      <c r="VUP204" s="605"/>
      <c r="VUQ204" s="605"/>
      <c r="VUR204" s="605"/>
      <c r="VUS204" s="605"/>
      <c r="VUT204" s="605"/>
      <c r="VUU204" s="605"/>
      <c r="VUV204" s="605"/>
      <c r="VUW204" s="605"/>
      <c r="VUX204" s="605"/>
      <c r="VUY204" s="605"/>
      <c r="VUZ204" s="605"/>
      <c r="VVA204" s="605"/>
      <c r="VVB204" s="605"/>
      <c r="VVC204" s="605"/>
      <c r="VVD204" s="605"/>
      <c r="VVE204" s="605"/>
      <c r="VVF204" s="605"/>
      <c r="VVG204" s="605"/>
      <c r="VVH204" s="605"/>
      <c r="VVI204" s="605"/>
      <c r="VVJ204" s="605"/>
      <c r="VVK204" s="605"/>
      <c r="VVL204" s="605"/>
      <c r="VVM204" s="605"/>
      <c r="VVN204" s="605"/>
      <c r="VVO204" s="605"/>
      <c r="VVP204" s="605"/>
      <c r="VVQ204" s="605"/>
      <c r="VVR204" s="605"/>
      <c r="VVS204" s="605"/>
      <c r="VVT204" s="605"/>
      <c r="VVU204" s="605"/>
      <c r="VVV204" s="605"/>
      <c r="VVW204" s="605"/>
      <c r="VVX204" s="605"/>
      <c r="VVY204" s="605"/>
      <c r="VVZ204" s="605"/>
      <c r="VWA204" s="605"/>
      <c r="VWB204" s="605"/>
      <c r="VWC204" s="605"/>
      <c r="VWD204" s="605"/>
      <c r="VWE204" s="605"/>
      <c r="VWF204" s="605"/>
      <c r="VWG204" s="605"/>
      <c r="VWH204" s="605"/>
      <c r="VWI204" s="605"/>
      <c r="VWJ204" s="605"/>
      <c r="VWK204" s="605"/>
      <c r="VWL204" s="605"/>
      <c r="VWM204" s="605"/>
      <c r="VWN204" s="605"/>
      <c r="VWO204" s="605"/>
      <c r="VWP204" s="605"/>
      <c r="VWQ204" s="605"/>
      <c r="VWR204" s="605"/>
      <c r="VWS204" s="605"/>
      <c r="VWT204" s="605"/>
      <c r="VWU204" s="605"/>
      <c r="VWV204" s="605"/>
      <c r="VWW204" s="605"/>
      <c r="VWX204" s="605"/>
      <c r="VWY204" s="605"/>
      <c r="VWZ204" s="605"/>
      <c r="VXA204" s="605"/>
      <c r="VXB204" s="605"/>
      <c r="VXC204" s="605"/>
      <c r="VXD204" s="605"/>
      <c r="VXE204" s="605"/>
      <c r="VXF204" s="605"/>
      <c r="VXG204" s="605"/>
      <c r="VXH204" s="605"/>
      <c r="VXI204" s="605"/>
      <c r="VXJ204" s="605"/>
      <c r="VXK204" s="605"/>
      <c r="VXL204" s="605"/>
      <c r="VXM204" s="605"/>
      <c r="VXN204" s="605"/>
      <c r="VXO204" s="605"/>
      <c r="VXP204" s="605"/>
      <c r="VXQ204" s="605"/>
      <c r="VXR204" s="605"/>
      <c r="VXS204" s="605"/>
      <c r="VXT204" s="605"/>
      <c r="VXU204" s="605"/>
      <c r="VXV204" s="605"/>
      <c r="VXW204" s="605"/>
      <c r="VXX204" s="605"/>
      <c r="VXY204" s="605"/>
      <c r="VXZ204" s="605"/>
      <c r="VYA204" s="605"/>
      <c r="VYB204" s="605"/>
      <c r="VYC204" s="605"/>
      <c r="VYD204" s="605"/>
      <c r="VYE204" s="605"/>
      <c r="VYF204" s="605"/>
      <c r="VYG204" s="605"/>
      <c r="VYH204" s="605"/>
      <c r="VYI204" s="605"/>
      <c r="VYJ204" s="605"/>
      <c r="VYK204" s="605"/>
      <c r="VYL204" s="605"/>
      <c r="VYM204" s="605"/>
      <c r="VYN204" s="605"/>
      <c r="VYO204" s="605"/>
      <c r="VYP204" s="605"/>
      <c r="VYQ204" s="605"/>
      <c r="VYR204" s="605"/>
      <c r="VYS204" s="605"/>
      <c r="VYT204" s="605"/>
      <c r="VYU204" s="605"/>
      <c r="VYV204" s="605"/>
      <c r="VYW204" s="605"/>
      <c r="VYX204" s="605"/>
      <c r="VYY204" s="605"/>
      <c r="VYZ204" s="605"/>
      <c r="VZA204" s="605"/>
      <c r="VZB204" s="605"/>
      <c r="VZC204" s="605"/>
      <c r="VZD204" s="605"/>
      <c r="VZE204" s="605"/>
      <c r="VZF204" s="605"/>
      <c r="VZG204" s="605"/>
      <c r="VZH204" s="605"/>
      <c r="VZI204" s="605"/>
      <c r="VZJ204" s="605"/>
      <c r="VZK204" s="605"/>
      <c r="VZL204" s="605"/>
      <c r="VZM204" s="605"/>
      <c r="VZN204" s="605"/>
      <c r="VZO204" s="605"/>
      <c r="VZP204" s="605"/>
      <c r="VZQ204" s="605"/>
      <c r="VZR204" s="605"/>
      <c r="VZS204" s="605"/>
      <c r="VZT204" s="605"/>
      <c r="VZU204" s="605"/>
      <c r="VZV204" s="605"/>
      <c r="VZW204" s="605"/>
      <c r="VZX204" s="605"/>
      <c r="VZY204" s="605"/>
      <c r="VZZ204" s="605"/>
      <c r="WAA204" s="605"/>
      <c r="WAB204" s="605"/>
      <c r="WAC204" s="605"/>
      <c r="WAD204" s="605"/>
      <c r="WAE204" s="605"/>
      <c r="WAF204" s="605"/>
      <c r="WAG204" s="605"/>
      <c r="WAH204" s="605"/>
      <c r="WAI204" s="605"/>
      <c r="WAJ204" s="605"/>
      <c r="WAK204" s="605"/>
      <c r="WAL204" s="605"/>
      <c r="WAM204" s="605"/>
      <c r="WAN204" s="605"/>
      <c r="WAO204" s="605"/>
      <c r="WAP204" s="605"/>
      <c r="WAQ204" s="605"/>
      <c r="WAR204" s="605"/>
      <c r="WAS204" s="605"/>
      <c r="WAT204" s="605"/>
      <c r="WAU204" s="605"/>
      <c r="WAV204" s="605"/>
      <c r="WAW204" s="605"/>
      <c r="WAX204" s="605"/>
      <c r="WAY204" s="605"/>
      <c r="WAZ204" s="605"/>
      <c r="WBA204" s="605"/>
      <c r="WBB204" s="605"/>
      <c r="WBC204" s="605"/>
      <c r="WBD204" s="605"/>
      <c r="WBE204" s="605"/>
      <c r="WBF204" s="605"/>
      <c r="WBG204" s="605"/>
      <c r="WBH204" s="605"/>
      <c r="WBI204" s="605"/>
      <c r="WBJ204" s="605"/>
      <c r="WBK204" s="605"/>
      <c r="WBL204" s="605"/>
      <c r="WBM204" s="605"/>
      <c r="WBN204" s="605"/>
      <c r="WBO204" s="605"/>
      <c r="WBP204" s="605"/>
      <c r="WBQ204" s="605"/>
      <c r="WBR204" s="605"/>
      <c r="WBS204" s="605"/>
      <c r="WBT204" s="605"/>
      <c r="WBU204" s="605"/>
      <c r="WBV204" s="605"/>
      <c r="WBW204" s="605"/>
      <c r="WBX204" s="605"/>
      <c r="WBY204" s="605"/>
      <c r="WBZ204" s="605"/>
      <c r="WCA204" s="605"/>
      <c r="WCB204" s="605"/>
      <c r="WCC204" s="605"/>
      <c r="WCD204" s="605"/>
      <c r="WCE204" s="605"/>
      <c r="WCF204" s="605"/>
      <c r="WCG204" s="605"/>
      <c r="WCH204" s="605"/>
      <c r="WCI204" s="605"/>
      <c r="WCJ204" s="605"/>
      <c r="WCK204" s="605"/>
      <c r="WCL204" s="605"/>
      <c r="WCM204" s="605"/>
      <c r="WCN204" s="605"/>
      <c r="WCO204" s="605"/>
      <c r="WCP204" s="605"/>
      <c r="WCQ204" s="605"/>
      <c r="WCR204" s="605"/>
      <c r="WCS204" s="605"/>
      <c r="WCT204" s="605"/>
      <c r="WCU204" s="605"/>
      <c r="WCV204" s="605"/>
      <c r="WCW204" s="605"/>
      <c r="WCX204" s="605"/>
      <c r="WCY204" s="605"/>
      <c r="WCZ204" s="605"/>
      <c r="WDA204" s="605"/>
      <c r="WDB204" s="605"/>
      <c r="WDC204" s="605"/>
      <c r="WDD204" s="605"/>
      <c r="WDE204" s="605"/>
      <c r="WDF204" s="605"/>
      <c r="WDG204" s="605"/>
      <c r="WDH204" s="605"/>
      <c r="WDI204" s="605"/>
      <c r="WDJ204" s="605"/>
      <c r="WDK204" s="605"/>
      <c r="WDL204" s="605"/>
      <c r="WDM204" s="605"/>
      <c r="WDN204" s="605"/>
      <c r="WDO204" s="605"/>
      <c r="WDP204" s="605"/>
      <c r="WDQ204" s="605"/>
      <c r="WDR204" s="605"/>
      <c r="WDS204" s="605"/>
      <c r="WDT204" s="605"/>
      <c r="WDU204" s="605"/>
      <c r="WDV204" s="605"/>
      <c r="WDW204" s="605"/>
      <c r="WDX204" s="605"/>
      <c r="WDY204" s="605"/>
      <c r="WDZ204" s="605"/>
      <c r="WEA204" s="605"/>
      <c r="WEB204" s="605"/>
      <c r="WEC204" s="605"/>
      <c r="WED204" s="605"/>
      <c r="WEE204" s="605"/>
      <c r="WEF204" s="605"/>
      <c r="WEG204" s="605"/>
      <c r="WEH204" s="605"/>
      <c r="WEI204" s="605"/>
      <c r="WEJ204" s="605"/>
      <c r="WEK204" s="605"/>
      <c r="WEL204" s="605"/>
      <c r="WEM204" s="605"/>
      <c r="WEN204" s="605"/>
      <c r="WEO204" s="605"/>
      <c r="WEP204" s="605"/>
      <c r="WEQ204" s="605"/>
      <c r="WER204" s="605"/>
      <c r="WES204" s="605"/>
      <c r="WET204" s="605"/>
      <c r="WEU204" s="605"/>
      <c r="WEV204" s="605"/>
      <c r="WEW204" s="605"/>
      <c r="WEX204" s="605"/>
      <c r="WEY204" s="605"/>
      <c r="WEZ204" s="605"/>
      <c r="WFA204" s="605"/>
      <c r="WFB204" s="605"/>
      <c r="WFC204" s="605"/>
      <c r="WFD204" s="605"/>
      <c r="WFE204" s="605"/>
      <c r="WFF204" s="605"/>
      <c r="WFG204" s="605"/>
      <c r="WFH204" s="605"/>
      <c r="WFI204" s="605"/>
      <c r="WFJ204" s="605"/>
      <c r="WFK204" s="605"/>
      <c r="WFL204" s="605"/>
      <c r="WFM204" s="605"/>
      <c r="WFN204" s="605"/>
      <c r="WFO204" s="605"/>
      <c r="WFP204" s="605"/>
      <c r="WFQ204" s="605"/>
      <c r="WFR204" s="605"/>
      <c r="WFS204" s="605"/>
      <c r="WFT204" s="605"/>
      <c r="WFU204" s="605"/>
      <c r="WFV204" s="605"/>
      <c r="WFW204" s="605"/>
      <c r="WFX204" s="605"/>
      <c r="WFY204" s="605"/>
      <c r="WFZ204" s="605"/>
      <c r="WGA204" s="605"/>
      <c r="WGB204" s="605"/>
      <c r="WGC204" s="605"/>
      <c r="WGD204" s="605"/>
      <c r="WGE204" s="605"/>
      <c r="WGF204" s="605"/>
      <c r="WGG204" s="605"/>
      <c r="WGH204" s="605"/>
      <c r="WGI204" s="605"/>
      <c r="WGJ204" s="605"/>
      <c r="WGK204" s="605"/>
      <c r="WGL204" s="605"/>
      <c r="WGM204" s="605"/>
      <c r="WGN204" s="605"/>
      <c r="WGO204" s="605"/>
      <c r="WGP204" s="605"/>
      <c r="WGQ204" s="605"/>
      <c r="WGR204" s="605"/>
      <c r="WGS204" s="605"/>
      <c r="WGT204" s="605"/>
      <c r="WGU204" s="605"/>
      <c r="WGV204" s="605"/>
      <c r="WGW204" s="605"/>
      <c r="WGX204" s="605"/>
      <c r="WGY204" s="605"/>
      <c r="WGZ204" s="605"/>
      <c r="WHA204" s="605"/>
      <c r="WHB204" s="605"/>
      <c r="WHC204" s="605"/>
      <c r="WHD204" s="605"/>
      <c r="WHE204" s="605"/>
      <c r="WHF204" s="605"/>
      <c r="WHG204" s="605"/>
      <c r="WHH204" s="605"/>
      <c r="WHI204" s="605"/>
      <c r="WHJ204" s="605"/>
      <c r="WHK204" s="605"/>
      <c r="WHL204" s="605"/>
      <c r="WHM204" s="605"/>
      <c r="WHN204" s="605"/>
      <c r="WHO204" s="605"/>
      <c r="WHP204" s="605"/>
      <c r="WHQ204" s="605"/>
      <c r="WHR204" s="605"/>
      <c r="WHS204" s="605"/>
      <c r="WHT204" s="605"/>
      <c r="WHU204" s="605"/>
      <c r="WHV204" s="605"/>
      <c r="WHW204" s="605"/>
      <c r="WHX204" s="605"/>
      <c r="WHY204" s="605"/>
      <c r="WHZ204" s="605"/>
      <c r="WIA204" s="605"/>
      <c r="WIB204" s="605"/>
      <c r="WIC204" s="605"/>
      <c r="WID204" s="605"/>
      <c r="WIE204" s="605"/>
      <c r="WIF204" s="605"/>
      <c r="WIG204" s="605"/>
      <c r="WIH204" s="605"/>
      <c r="WII204" s="605"/>
      <c r="WIJ204" s="605"/>
      <c r="WIK204" s="605"/>
      <c r="WIL204" s="605"/>
      <c r="WIM204" s="605"/>
      <c r="WIN204" s="605"/>
      <c r="WIO204" s="605"/>
      <c r="WIP204" s="605"/>
      <c r="WIQ204" s="605"/>
      <c r="WIR204" s="605"/>
      <c r="WIS204" s="605"/>
      <c r="WIT204" s="605"/>
      <c r="WIU204" s="605"/>
      <c r="WIV204" s="605"/>
      <c r="WIW204" s="605"/>
      <c r="WIX204" s="605"/>
      <c r="WIY204" s="605"/>
      <c r="WIZ204" s="605"/>
      <c r="WJA204" s="605"/>
      <c r="WJB204" s="605"/>
      <c r="WJC204" s="605"/>
      <c r="WJD204" s="605"/>
      <c r="WJE204" s="605"/>
      <c r="WJF204" s="605"/>
      <c r="WJG204" s="605"/>
      <c r="WJH204" s="605"/>
      <c r="WJI204" s="605"/>
      <c r="WJJ204" s="605"/>
      <c r="WJK204" s="605"/>
      <c r="WJL204" s="605"/>
      <c r="WJM204" s="605"/>
      <c r="WJN204" s="605"/>
      <c r="WJO204" s="605"/>
      <c r="WJP204" s="605"/>
      <c r="WJQ204" s="605"/>
      <c r="WJR204" s="605"/>
      <c r="WJS204" s="605"/>
      <c r="WJT204" s="605"/>
      <c r="WJU204" s="605"/>
      <c r="WJV204" s="605"/>
      <c r="WJW204" s="605"/>
      <c r="WJX204" s="605"/>
      <c r="WJY204" s="605"/>
      <c r="WJZ204" s="605"/>
      <c r="WKA204" s="605"/>
      <c r="WKB204" s="605"/>
      <c r="WKC204" s="605"/>
      <c r="WKD204" s="605"/>
      <c r="WKE204" s="605"/>
      <c r="WKF204" s="605"/>
      <c r="WKG204" s="605"/>
      <c r="WKH204" s="605"/>
      <c r="WKI204" s="605"/>
      <c r="WKJ204" s="605"/>
      <c r="WKK204" s="605"/>
      <c r="WKL204" s="605"/>
      <c r="WKM204" s="605"/>
      <c r="WKN204" s="605"/>
      <c r="WKO204" s="605"/>
      <c r="WKP204" s="605"/>
      <c r="WKQ204" s="605"/>
      <c r="WKR204" s="605"/>
      <c r="WKS204" s="605"/>
      <c r="WKT204" s="605"/>
      <c r="WKU204" s="605"/>
      <c r="WKV204" s="605"/>
      <c r="WKW204" s="605"/>
      <c r="WKX204" s="605"/>
      <c r="WKY204" s="605"/>
      <c r="WKZ204" s="605"/>
      <c r="WLA204" s="605"/>
      <c r="WLB204" s="605"/>
      <c r="WLC204" s="605"/>
      <c r="WLD204" s="605"/>
      <c r="WLE204" s="605"/>
      <c r="WLF204" s="605"/>
      <c r="WLG204" s="605"/>
      <c r="WLH204" s="605"/>
      <c r="WLI204" s="605"/>
      <c r="WLJ204" s="605"/>
      <c r="WLK204" s="605"/>
      <c r="WLL204" s="605"/>
      <c r="WLM204" s="605"/>
      <c r="WLN204" s="605"/>
      <c r="WLO204" s="605"/>
      <c r="WLP204" s="605"/>
      <c r="WLQ204" s="605"/>
      <c r="WLR204" s="605"/>
      <c r="WLS204" s="605"/>
      <c r="WLT204" s="605"/>
      <c r="WLU204" s="605"/>
      <c r="WLV204" s="605"/>
      <c r="WLW204" s="605"/>
      <c r="WLX204" s="605"/>
      <c r="WLY204" s="605"/>
      <c r="WLZ204" s="605"/>
      <c r="WMA204" s="605"/>
      <c r="WMB204" s="605"/>
      <c r="WMC204" s="605"/>
      <c r="WMD204" s="605"/>
      <c r="WME204" s="605"/>
      <c r="WMF204" s="605"/>
      <c r="WMG204" s="605"/>
      <c r="WMH204" s="605"/>
      <c r="WMI204" s="605"/>
      <c r="WMJ204" s="605"/>
      <c r="WMK204" s="605"/>
      <c r="WML204" s="605"/>
      <c r="WMM204" s="605"/>
      <c r="WMN204" s="605"/>
      <c r="WMO204" s="605"/>
      <c r="WMP204" s="605"/>
      <c r="WMQ204" s="605"/>
      <c r="WMR204" s="605"/>
      <c r="WMS204" s="605"/>
      <c r="WMT204" s="605"/>
      <c r="WMU204" s="605"/>
      <c r="WMV204" s="605"/>
      <c r="WMW204" s="605"/>
      <c r="WMX204" s="605"/>
      <c r="WMY204" s="605"/>
      <c r="WMZ204" s="605"/>
      <c r="WNA204" s="605"/>
      <c r="WNB204" s="605"/>
      <c r="WNC204" s="605"/>
      <c r="WND204" s="605"/>
      <c r="WNE204" s="605"/>
      <c r="WNF204" s="605"/>
      <c r="WNG204" s="605"/>
      <c r="WNH204" s="605"/>
      <c r="WNI204" s="605"/>
      <c r="WNJ204" s="605"/>
      <c r="WNK204" s="605"/>
      <c r="WNL204" s="605"/>
      <c r="WNM204" s="605"/>
      <c r="WNN204" s="605"/>
      <c r="WNO204" s="605"/>
      <c r="WNP204" s="605"/>
      <c r="WNQ204" s="605"/>
      <c r="WNR204" s="605"/>
      <c r="WNS204" s="605"/>
      <c r="WNT204" s="605"/>
      <c r="WNU204" s="605"/>
      <c r="WNV204" s="605"/>
      <c r="WNW204" s="605"/>
      <c r="WNX204" s="605"/>
      <c r="WNY204" s="605"/>
      <c r="WNZ204" s="605"/>
      <c r="WOA204" s="605"/>
      <c r="WOB204" s="605"/>
      <c r="WOC204" s="605"/>
      <c r="WOD204" s="605"/>
      <c r="WOE204" s="605"/>
      <c r="WOF204" s="605"/>
      <c r="WOG204" s="605"/>
      <c r="WOH204" s="605"/>
      <c r="WOI204" s="605"/>
      <c r="WOJ204" s="605"/>
      <c r="WOK204" s="605"/>
      <c r="WOL204" s="605"/>
      <c r="WOM204" s="605"/>
      <c r="WON204" s="605"/>
      <c r="WOO204" s="605"/>
      <c r="WOP204" s="605"/>
      <c r="WOQ204" s="605"/>
      <c r="WOR204" s="605"/>
      <c r="WOS204" s="605"/>
      <c r="WOT204" s="605"/>
      <c r="WOU204" s="605"/>
      <c r="WOV204" s="605"/>
      <c r="WOW204" s="605"/>
      <c r="WOX204" s="605"/>
      <c r="WOY204" s="605"/>
      <c r="WOZ204" s="605"/>
      <c r="WPA204" s="605"/>
      <c r="WPB204" s="605"/>
      <c r="WPC204" s="605"/>
      <c r="WPD204" s="605"/>
      <c r="WPE204" s="605"/>
      <c r="WPF204" s="605"/>
      <c r="WPG204" s="605"/>
      <c r="WPH204" s="605"/>
      <c r="WPI204" s="605"/>
      <c r="WPJ204" s="605"/>
      <c r="WPK204" s="605"/>
      <c r="WPL204" s="605"/>
      <c r="WPM204" s="605"/>
      <c r="WPN204" s="605"/>
      <c r="WPO204" s="605"/>
      <c r="WPP204" s="605"/>
      <c r="WPQ204" s="605"/>
      <c r="WPR204" s="605"/>
      <c r="WPS204" s="605"/>
      <c r="WPT204" s="605"/>
      <c r="WPU204" s="605"/>
      <c r="WPV204" s="605"/>
      <c r="WPW204" s="605"/>
      <c r="WPX204" s="605"/>
      <c r="WPY204" s="605"/>
      <c r="WPZ204" s="605"/>
      <c r="WQA204" s="605"/>
      <c r="WQB204" s="605"/>
      <c r="WQC204" s="605"/>
      <c r="WQD204" s="605"/>
      <c r="WQE204" s="605"/>
      <c r="WQF204" s="605"/>
      <c r="WQG204" s="605"/>
      <c r="WQH204" s="605"/>
      <c r="WQI204" s="605"/>
      <c r="WQJ204" s="605"/>
      <c r="WQK204" s="605"/>
      <c r="WQL204" s="605"/>
      <c r="WQM204" s="605"/>
      <c r="WQN204" s="605"/>
      <c r="WQO204" s="605"/>
      <c r="WQP204" s="605"/>
      <c r="WQQ204" s="605"/>
      <c r="WQR204" s="605"/>
      <c r="WQS204" s="605"/>
      <c r="WQT204" s="605"/>
      <c r="WQU204" s="605"/>
      <c r="WQV204" s="605"/>
      <c r="WQW204" s="605"/>
      <c r="WQX204" s="605"/>
      <c r="WQY204" s="605"/>
      <c r="WQZ204" s="605"/>
      <c r="WRA204" s="605"/>
      <c r="WRB204" s="605"/>
      <c r="WRC204" s="605"/>
      <c r="WRD204" s="605"/>
      <c r="WRE204" s="605"/>
      <c r="WRF204" s="605"/>
      <c r="WRG204" s="605"/>
      <c r="WRH204" s="605"/>
      <c r="WRI204" s="605"/>
      <c r="WRJ204" s="605"/>
      <c r="WRK204" s="605"/>
      <c r="WRL204" s="605"/>
      <c r="WRM204" s="605"/>
      <c r="WRN204" s="605"/>
      <c r="WRO204" s="605"/>
      <c r="WRP204" s="605"/>
      <c r="WRQ204" s="605"/>
      <c r="WRR204" s="605"/>
      <c r="WRS204" s="605"/>
      <c r="WRT204" s="605"/>
      <c r="WRU204" s="605"/>
      <c r="WRV204" s="605"/>
      <c r="WRW204" s="605"/>
      <c r="WRX204" s="605"/>
      <c r="WRY204" s="605"/>
      <c r="WRZ204" s="605"/>
      <c r="WSA204" s="605"/>
      <c r="WSB204" s="605"/>
      <c r="WSC204" s="605"/>
      <c r="WSD204" s="605"/>
      <c r="WSE204" s="605"/>
      <c r="WSF204" s="605"/>
      <c r="WSG204" s="605"/>
      <c r="WSH204" s="605"/>
      <c r="WSI204" s="605"/>
      <c r="WSJ204" s="605"/>
      <c r="WSK204" s="605"/>
      <c r="WSL204" s="605"/>
      <c r="WSM204" s="605"/>
      <c r="WSN204" s="605"/>
      <c r="WSO204" s="605"/>
      <c r="WSP204" s="605"/>
      <c r="WSQ204" s="605"/>
      <c r="WSR204" s="605"/>
      <c r="WSS204" s="605"/>
      <c r="WST204" s="605"/>
      <c r="WSU204" s="605"/>
      <c r="WSV204" s="605"/>
      <c r="WSW204" s="605"/>
      <c r="WSX204" s="605"/>
      <c r="WSY204" s="605"/>
      <c r="WSZ204" s="605"/>
      <c r="WTA204" s="605"/>
      <c r="WTB204" s="605"/>
      <c r="WTC204" s="605"/>
      <c r="WTD204" s="605"/>
      <c r="WTE204" s="605"/>
      <c r="WTF204" s="605"/>
      <c r="WTG204" s="605"/>
      <c r="WTH204" s="605"/>
      <c r="WTI204" s="605"/>
      <c r="WTJ204" s="605"/>
      <c r="WTK204" s="605"/>
      <c r="WTL204" s="605"/>
      <c r="WTM204" s="605"/>
      <c r="WTN204" s="605"/>
      <c r="WTO204" s="605"/>
      <c r="WTP204" s="605"/>
      <c r="WTQ204" s="605"/>
      <c r="WTR204" s="605"/>
      <c r="WTS204" s="605"/>
      <c r="WTT204" s="605"/>
      <c r="WTU204" s="605"/>
      <c r="WTV204" s="605"/>
      <c r="WTW204" s="605"/>
      <c r="WTX204" s="605"/>
      <c r="WTY204" s="605"/>
      <c r="WTZ204" s="605"/>
      <c r="WUA204" s="605"/>
      <c r="WUB204" s="605"/>
      <c r="WUC204" s="605"/>
      <c r="WUD204" s="605"/>
      <c r="WUE204" s="605"/>
      <c r="WUF204" s="605"/>
      <c r="WUG204" s="605"/>
      <c r="WUH204" s="605"/>
      <c r="WUI204" s="605"/>
      <c r="WUJ204" s="605"/>
      <c r="WUK204" s="605"/>
      <c r="WUL204" s="605"/>
      <c r="WUM204" s="605"/>
      <c r="WUN204" s="605"/>
      <c r="WUO204" s="605"/>
      <c r="WUP204" s="605"/>
      <c r="WUQ204" s="605"/>
      <c r="WUR204" s="605"/>
      <c r="WUS204" s="605"/>
      <c r="WUT204" s="605"/>
      <c r="WUU204" s="605"/>
      <c r="WUV204" s="605"/>
      <c r="WUW204" s="605"/>
      <c r="WUX204" s="605"/>
      <c r="WUY204" s="605"/>
      <c r="WUZ204" s="605"/>
      <c r="WVA204" s="605"/>
      <c r="WVB204" s="605"/>
      <c r="WVC204" s="605"/>
      <c r="WVD204" s="605"/>
      <c r="WVE204" s="605"/>
      <c r="WVF204" s="605"/>
      <c r="WVG204" s="605"/>
      <c r="WVH204" s="605"/>
      <c r="WVI204" s="605"/>
      <c r="WVJ204" s="605"/>
      <c r="WVK204" s="605"/>
      <c r="WVL204" s="605"/>
      <c r="WVM204" s="605"/>
      <c r="WVN204" s="605"/>
      <c r="WVO204" s="605"/>
    </row>
    <row r="205" spans="1:16135" x14ac:dyDescent="0.25">
      <c r="F205" s="47"/>
      <c r="G205" s="47"/>
    </row>
    <row r="206" spans="1:16135" x14ac:dyDescent="0.25">
      <c r="F206" s="47"/>
      <c r="G206" s="47"/>
    </row>
    <row r="207" spans="1:16135" x14ac:dyDescent="0.25">
      <c r="F207" s="550"/>
      <c r="G207" s="550"/>
    </row>
    <row r="208" spans="1:16135" x14ac:dyDescent="0.25">
      <c r="F208" s="47"/>
      <c r="G208" s="549"/>
    </row>
    <row r="209" spans="6:7" x14ac:dyDescent="0.25">
      <c r="F209" s="551"/>
      <c r="G209" s="551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2" manualBreakCount="2">
    <brk id="85" max="6" man="1"/>
    <brk id="18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7</vt:i4>
      </vt:variant>
    </vt:vector>
  </HeadingPairs>
  <TitlesOfParts>
    <vt:vector size="13" baseType="lpstr">
      <vt:lpstr>Zał.Nr1</vt:lpstr>
      <vt:lpstr>Zał.Nr2</vt:lpstr>
      <vt:lpstr>Zał.Nr3</vt:lpstr>
      <vt:lpstr>Zał.Nr4</vt:lpstr>
      <vt:lpstr>Zał.Nr5</vt:lpstr>
      <vt:lpstr>Zał.Nr6</vt:lpstr>
      <vt:lpstr>Zał.Nr1!Obszar_wydruku</vt:lpstr>
      <vt:lpstr>Zał.Nr2!Obszar_wydruku</vt:lpstr>
      <vt:lpstr>Zał.Nr6!Obszar_wydruku</vt:lpstr>
      <vt:lpstr>Zał.Nr1!Tytuły_wydruku</vt:lpstr>
      <vt:lpstr>Zał.Nr2!Tytuły_wydruku</vt:lpstr>
      <vt:lpstr>Zał.Nr4!Tytuły_wydruku</vt:lpstr>
      <vt:lpstr>Zał.Nr6!Tytuły_wydruku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 Zarządzenia Nr 371/2023 PREZYDENTA MIASTA WŁOCŁAWEK z dnia 29 września 2023 r.</dc:title>
  <dc:creator>Beata Duszeńska</dc:creator>
  <cp:keywords>Załącznik do Zarządzenia Prezydenta Miasta Włocławek</cp:keywords>
  <cp:lastModifiedBy>Karolina Budziszewska</cp:lastModifiedBy>
  <cp:lastPrinted>2023-10-03T12:35:34Z</cp:lastPrinted>
  <dcterms:created xsi:type="dcterms:W3CDTF">2023-06-19T06:39:13Z</dcterms:created>
  <dcterms:modified xsi:type="dcterms:W3CDTF">2023-10-04T12:07:18Z</dcterms:modified>
</cp:coreProperties>
</file>